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Inputs" sheetId="2" state="visible" r:id="rId2"/>
    <sheet xmlns:r="http://schemas.openxmlformats.org/officeDocument/2006/relationships" name="Cases" sheetId="3" state="visible" r:id="rId3"/>
    <sheet xmlns:r="http://schemas.openxmlformats.org/officeDocument/2006/relationships" name="Commission" sheetId="4" state="visible" r:id="rId4"/>
    <sheet xmlns:r="http://schemas.openxmlformats.org/officeDocument/2006/relationships" name="Accrual" sheetId="5" state="visible" r:id="rId5"/>
    <sheet xmlns:r="http://schemas.openxmlformats.org/officeDocument/2006/relationships" name="Cash" sheetId="6" state="visible" r:id="rId6"/>
    <sheet xmlns:r="http://schemas.openxmlformats.org/officeDocument/2006/relationships" name="Collect" sheetId="7" state="visible" r:id="rId7"/>
    <sheet xmlns:r="http://schemas.openxmlformats.org/officeDocument/2006/relationships" name="Checks" sheetId="8" state="visible" r:id="rId8"/>
  </sheets>
  <definedNames>
    <definedName name="Client_Name">'Inputs'!$B$6</definedName>
    <definedName name="Period_Start">'Inputs'!$B$7</definedName>
    <definedName name="Accel_Threshold">'Inputs'!$B$10</definedName>
    <definedName name="Accel_Mult">'Inputs'!$B$11</definedName>
    <definedName name="Split_Pct">'Inputs'!$B$12</definedName>
    <definedName name="Clawback_Pct">'Inputs'!$B$13</definedName>
    <definedName name="Comm_Pay_Lag">'Inputs'!$B$14</definedName>
    <definedName name="Open_Comm_Liab">'Inputs'!$B$15</definedName>
    <definedName name="Prior_Yr_Payout">'Inputs'!$B$16</definedName>
    <definedName name="Rate_Spine">'Inputs'!$B$20</definedName>
    <definedName name="Rate_Extrem">'Inputs'!$B$21</definedName>
    <definedName name="Rate_Biolog">'Inputs'!$B$22</definedName>
    <definedName name="DSO_Meridian">'Inputs'!$B$27</definedName>
    <definedName name="DSO_Alderwood">'Inputs'!$B$28</definedName>
    <definedName name="DSO_Fenmore">'Inputs'!$B$29</definedName>
    <definedName name="DSO_Kingsbridge">'Inputs'!$B$30</definedName>
    <definedName name="Line_Names">'Inputs'!$A$20:$A$22</definedName>
    <definedName name="Line_Rates">'Inputs'!$B$20:$B$22</definedName>
    <definedName name="Sys_Names">'Inputs'!$A$27:$A$30</definedName>
    <definedName name="Sys_DSO">'Inputs'!$B$27:$B$30</definedName>
    <definedName name="DSO_Blended">'Cash'!$B$15</definedName>
  </definedNames>
  <calcPr calcId="124519" fullCalcOnLoad="1"/>
</workbook>
</file>

<file path=xl/styles.xml><?xml version="1.0" encoding="utf-8"?>
<styleSheet xmlns="http://schemas.openxmlformats.org/spreadsheetml/2006/main">
  <numFmts count="7">
    <numFmt numFmtId="164" formatCode="yyyy-mm-dd"/>
    <numFmt numFmtId="165" formatCode="mm/dd/yyyy"/>
    <numFmt numFmtId="166" formatCode="$#,##0;($#,##0)"/>
    <numFmt numFmtId="167" formatCode="0.0&quot;x&quot;"/>
    <numFmt numFmtId="168" formatCode="0.0%;(0.0%)"/>
    <numFmt numFmtId="169" formatCode="#,##0;(#,##0)"/>
    <numFmt numFmtId="170" formatCode="#,##0&quot; d&quot;"/>
  </numFmts>
  <fonts count="14">
    <font>
      <name val="Calibri"/>
      <family val="2"/>
      <color theme="1"/>
      <sz val="11"/>
      <scheme val="minor"/>
    </font>
    <font>
      <name val="Calibri"/>
      <b val="1"/>
      <color rgb="0016211C"/>
      <sz val="18"/>
    </font>
    <font>
      <name val="Calibri"/>
      <i val="1"/>
      <color rgb="005D6B64"/>
      <sz val="10"/>
    </font>
    <font>
      <name val="Calibri"/>
      <b val="1"/>
      <color rgb="00134A31"/>
      <sz val="11"/>
    </font>
    <font>
      <name val="Calibri"/>
      <color rgb="00000000"/>
      <sz val="10"/>
    </font>
    <font>
      <name val="Calibri"/>
      <i val="1"/>
      <color rgb="005D6B64"/>
      <sz val="9"/>
    </font>
    <font>
      <name val="Calibri"/>
      <b val="1"/>
      <color rgb="006B4E00"/>
      <sz val="10"/>
    </font>
    <font>
      <name val="Calibri"/>
      <b val="1"/>
      <color rgb="00FFFFFF"/>
      <sz val="10"/>
    </font>
    <font>
      <name val="Calibri"/>
      <b val="1"/>
      <color rgb="0016211C"/>
      <sz val="10"/>
    </font>
    <font>
      <name val="Calibri"/>
      <b val="1"/>
      <color rgb="005D6B64"/>
      <sz val="9"/>
    </font>
    <font>
      <name val="Calibri"/>
      <b val="1"/>
      <color rgb="00B91C1C"/>
      <sz val="14"/>
    </font>
    <font>
      <name val="Calibri"/>
      <b val="1"/>
      <color rgb="00134A31"/>
      <sz val="14"/>
    </font>
    <font>
      <name val="Calibri"/>
      <b val="1"/>
      <color rgb="00134A31"/>
      <sz val="10"/>
    </font>
    <font>
      <name val="Calibri"/>
      <b val="1"/>
      <color rgb="00134A31"/>
      <sz val="16"/>
    </font>
  </fonts>
  <fills count="5">
    <fill>
      <patternFill/>
    </fill>
    <fill>
      <patternFill patternType="gray125"/>
    </fill>
    <fill>
      <patternFill patternType="solid">
        <fgColor rgb="00E8F1EB"/>
      </patternFill>
    </fill>
    <fill>
      <patternFill patternType="solid">
        <fgColor rgb="00FFF3B8"/>
      </patternFill>
    </fill>
    <fill>
      <patternFill patternType="solid">
        <fgColor rgb="001F6F4A"/>
      </patternFill>
    </fill>
  </fills>
  <borders count="5">
    <border>
      <left/>
      <right/>
      <top/>
      <bottom/>
      <diagonal/>
    </border>
    <border>
      <top style="thin">
        <color rgb="00DCE0D9"/>
      </top>
    </border>
    <border>
      <bottom style="thin">
        <color rgb="001F6F4A"/>
      </bottom>
    </border>
    <border>
      <left style="thin">
        <color rgb="00DCE0D9"/>
      </left>
      <right style="thin">
        <color rgb="00DCE0D9"/>
      </right>
      <top style="thin">
        <color rgb="00DCE0D9"/>
      </top>
      <bottom style="thin">
        <color rgb="00DCE0D9"/>
      </bottom>
    </border>
    <border>
      <top style="thin">
        <color rgb="0016211C"/>
      </top>
    </border>
  </borders>
  <cellStyleXfs count="1">
    <xf numFmtId="0" fontId="0" fillId="0" borderId="0"/>
  </cellStyleXfs>
  <cellXfs count="46">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0" borderId="0" applyAlignment="1" pivotButton="0" quotePrefix="0" xfId="0">
      <alignment horizontal="left" vertical="top" wrapText="1"/>
    </xf>
    <xf numFmtId="0" fontId="0" fillId="0" borderId="1" pivotButton="0" quotePrefix="0" xfId="0"/>
    <xf numFmtId="0" fontId="5" fillId="0" borderId="0" pivotButton="0" quotePrefix="0" xfId="0"/>
    <xf numFmtId="0" fontId="3" fillId="2" borderId="2" applyAlignment="1" pivotButton="0" quotePrefix="0" xfId="0">
      <alignment horizontal="left" vertical="center"/>
    </xf>
    <xf numFmtId="0" fontId="0" fillId="2" borderId="2" pivotButton="0" quotePrefix="0" xfId="0"/>
    <xf numFmtId="0" fontId="4" fillId="0" borderId="0" applyAlignment="1" pivotButton="0" quotePrefix="0" xfId="0">
      <alignment horizontal="left" vertical="center"/>
    </xf>
    <xf numFmtId="49" fontId="6" fillId="3" borderId="3" applyAlignment="1" pivotButton="0" quotePrefix="0" xfId="0">
      <alignment horizontal="right" vertical="center"/>
    </xf>
    <xf numFmtId="0" fontId="5" fillId="0" borderId="0" applyAlignment="1" pivotButton="0" quotePrefix="0" xfId="0">
      <alignment horizontal="left" vertical="center"/>
    </xf>
    <xf numFmtId="165" fontId="6" fillId="3" borderId="3" applyAlignment="1" pivotButton="0" quotePrefix="0" xfId="0">
      <alignment horizontal="right" vertical="center"/>
    </xf>
    <xf numFmtId="166" fontId="6" fillId="3" borderId="3" applyAlignment="1" pivotButton="0" quotePrefix="0" xfId="0">
      <alignment horizontal="right" vertical="center"/>
    </xf>
    <xf numFmtId="167" fontId="6" fillId="3" borderId="3" applyAlignment="1" pivotButton="0" quotePrefix="0" xfId="0">
      <alignment horizontal="right" vertical="center"/>
    </xf>
    <xf numFmtId="168" fontId="6" fillId="3" borderId="3" applyAlignment="1" pivotButton="0" quotePrefix="0" xfId="0">
      <alignment horizontal="right" vertical="center"/>
    </xf>
    <xf numFmtId="169" fontId="6" fillId="3" borderId="3" applyAlignment="1" pivotButton="0" quotePrefix="0" xfId="0">
      <alignment horizontal="right" vertical="center"/>
    </xf>
    <xf numFmtId="0" fontId="7" fillId="4" borderId="3" applyAlignment="1" pivotButton="0" quotePrefix="0" xfId="0">
      <alignment horizontal="center" vertical="center"/>
    </xf>
    <xf numFmtId="49" fontId="6" fillId="3" borderId="3" applyAlignment="1" pivotButton="0" quotePrefix="0" xfId="0">
      <alignment horizontal="left" vertical="center"/>
    </xf>
    <xf numFmtId="170" fontId="6" fillId="3" borderId="3" applyAlignment="1" pivotButton="0" quotePrefix="0" xfId="0">
      <alignment horizontal="right" vertical="center"/>
    </xf>
    <xf numFmtId="49" fontId="6" fillId="3" borderId="3" applyAlignment="1" pivotButton="0" quotePrefix="0" xfId="0">
      <alignment horizontal="center" vertical="center"/>
    </xf>
    <xf numFmtId="0" fontId="8" fillId="0" borderId="0" applyAlignment="1" pivotButton="0" quotePrefix="0" xfId="0">
      <alignment horizontal="left" vertical="center"/>
    </xf>
    <xf numFmtId="166" fontId="8" fillId="0" borderId="4" applyAlignment="1" pivotButton="0" quotePrefix="0" xfId="0">
      <alignment horizontal="right" vertical="center"/>
    </xf>
    <xf numFmtId="49" fontId="4" fillId="0" borderId="0" applyAlignment="1" pivotButton="0" quotePrefix="0" xfId="0">
      <alignment horizontal="center" vertical="center"/>
    </xf>
    <xf numFmtId="165" fontId="4" fillId="0" borderId="0" applyAlignment="1" pivotButton="0" quotePrefix="0" xfId="0">
      <alignment horizontal="right" vertical="center"/>
    </xf>
    <xf numFmtId="49" fontId="4" fillId="0" borderId="0" applyAlignment="1" pivotButton="0" quotePrefix="0" xfId="0">
      <alignment horizontal="left" vertical="center"/>
    </xf>
    <xf numFmtId="166" fontId="4" fillId="0" borderId="0" applyAlignment="1" pivotButton="0" quotePrefix="0" xfId="0">
      <alignment horizontal="right" vertical="center"/>
    </xf>
    <xf numFmtId="168" fontId="4" fillId="0" borderId="0" applyAlignment="1" pivotButton="0" quotePrefix="0" xfId="0">
      <alignment horizontal="right" vertical="center"/>
    </xf>
    <xf numFmtId="167" fontId="4" fillId="0" borderId="0" applyAlignment="1" pivotButton="0" quotePrefix="0" xfId="0">
      <alignment horizontal="right" vertical="center"/>
    </xf>
    <xf numFmtId="9" fontId="4" fillId="0" borderId="0" applyAlignment="1" pivotButton="0" quotePrefix="0" xfId="0">
      <alignment horizontal="right" vertical="center"/>
    </xf>
    <xf numFmtId="166" fontId="8" fillId="0" borderId="0" applyAlignment="1" pivotButton="0" quotePrefix="0" xfId="0">
      <alignment horizontal="right" vertical="center"/>
    </xf>
    <xf numFmtId="3" fontId="5" fillId="0" borderId="0" applyAlignment="1" pivotButton="0" quotePrefix="0" xfId="0">
      <alignment horizontal="right" vertical="center"/>
    </xf>
    <xf numFmtId="0" fontId="7" fillId="4" borderId="0" applyAlignment="1" pivotButton="0" quotePrefix="0" xfId="0">
      <alignment horizontal="left" vertical="center"/>
    </xf>
    <xf numFmtId="0" fontId="0" fillId="4" borderId="0" pivotButton="0" quotePrefix="0" xfId="0"/>
    <xf numFmtId="3" fontId="5" fillId="0" borderId="0" applyAlignment="1" pivotButton="0" quotePrefix="0" xfId="0">
      <alignment horizontal="center" vertical="center"/>
    </xf>
    <xf numFmtId="169" fontId="4" fillId="0" borderId="0" applyAlignment="1" pivotButton="0" quotePrefix="0" xfId="0">
      <alignment horizontal="right" vertical="center"/>
    </xf>
    <xf numFmtId="0" fontId="8" fillId="0" borderId="4" applyAlignment="1" pivotButton="0" quotePrefix="0" xfId="0">
      <alignment horizontal="left" vertical="center"/>
    </xf>
    <xf numFmtId="0" fontId="0" fillId="0" borderId="4" pivotButton="0" quotePrefix="0" xfId="0"/>
    <xf numFmtId="0" fontId="9" fillId="0" borderId="0" applyAlignment="1" pivotButton="0" quotePrefix="0" xfId="0">
      <alignment horizontal="left" vertical="center"/>
    </xf>
    <xf numFmtId="166" fontId="10" fillId="0" borderId="0" applyAlignment="1" pivotButton="0" quotePrefix="0" xfId="0">
      <alignment horizontal="left" vertical="center"/>
    </xf>
    <xf numFmtId="166" fontId="11" fillId="0" borderId="0" applyAlignment="1" pivotButton="0" quotePrefix="0" xfId="0">
      <alignment horizontal="left" vertical="center"/>
    </xf>
    <xf numFmtId="170" fontId="4" fillId="0" borderId="0" applyAlignment="1" pivotButton="0" quotePrefix="0" xfId="0">
      <alignment horizontal="right" vertical="center"/>
    </xf>
    <xf numFmtId="170" fontId="8" fillId="0" borderId="0" applyAlignment="1" pivotButton="0" quotePrefix="0" xfId="0">
      <alignment horizontal="right" vertical="center"/>
    </xf>
    <xf numFmtId="49" fontId="11" fillId="0" borderId="0" applyAlignment="1" pivotButton="0" quotePrefix="0" xfId="0">
      <alignment horizontal="left" vertical="center"/>
    </xf>
    <xf numFmtId="0" fontId="12" fillId="0" borderId="3" applyAlignment="1" pivotButton="0" quotePrefix="0" xfId="0">
      <alignment horizontal="center" vertical="center"/>
    </xf>
    <xf numFmtId="0" fontId="13" fillId="0" borderId="0" applyAlignment="1" pivotButton="0" quotePrefix="0" xfId="0">
      <alignment horizontal="center" vertical="center"/>
    </xf>
  </cellXfs>
  <cellStyles count="1">
    <cellStyle name="Normal" xfId="0" builtinId="0" hidden="0"/>
  </cellStyles>
  <dxfs count="3">
    <dxf>
      <fill>
        <patternFill patternType="solid">
          <fgColor rgb="00FEF3C7"/>
        </patternFill>
      </fill>
    </dxf>
    <dxf>
      <font>
        <name val="Calibri"/>
        <b val="1"/>
        <color rgb="00B91C1C"/>
        <sz val="10"/>
      </font>
      <fill>
        <patternFill patternType="solid">
          <fgColor rgb="00FCE4E4"/>
        </patternFill>
      </fill>
    </dxf>
    <dxf>
      <font>
        <name val="Calibri"/>
        <b val="1"/>
        <color rgb="00B91C1C"/>
        <sz val="14"/>
      </font>
      <fill>
        <patternFill patternType="solid">
          <fgColor rgb="00FCE4E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6211C"/>
    <outlinePr summaryBelow="1" summaryRight="1"/>
    <pageSetUpPr fitToPage="1"/>
  </sheetPr>
  <dimension ref="A2:B35"/>
  <sheetViews>
    <sheetView showGridLines="0" zoomScale="115" workbookViewId="0">
      <selection activeCell="A1" sqref="A1"/>
    </sheetView>
  </sheetViews>
  <sheetFormatPr baseColWidth="8" defaultRowHeight="15"/>
  <cols>
    <col width="3" customWidth="1" min="1" max="1"/>
    <col width="108" customWidth="1" min="2" max="2"/>
  </cols>
  <sheetData>
    <row r="2">
      <c r="B2" s="1" t="inlineStr">
        <is>
          <t>Spreadsheet Studio  ·  Rep commission model</t>
        </is>
      </c>
    </row>
    <row r="3">
      <c r="B3" s="2" t="inlineStr">
        <is>
          <t>Kestrel Ridge Surgical Partners is an illustrative company. The data in this file is invented; the mechanics are not.</t>
        </is>
      </c>
    </row>
    <row r="5">
      <c r="B5" s="3" t="inlineStr">
        <is>
          <t>WHAT THIS IS</t>
        </is>
      </c>
    </row>
    <row r="6" ht="30" customHeight="1">
      <c r="B6" s="4" t="inlineStr">
        <is>
          <t>Commission by rep, by product line and by case — booked when the rep earns the case, not when accounts receivable gets round to invoicing it — plus the cash that case turns into, on the paying hospital's own clock.</t>
        </is>
      </c>
    </row>
    <row r="8">
      <c r="B8" s="3" t="inlineStr">
        <is>
          <t>THE MISTAKE THIS MODEL EXISTS TO CATCH</t>
        </is>
      </c>
    </row>
    <row r="9" ht="30" customHeight="1">
      <c r="B9" s="4" t="inlineStr">
        <is>
          <t>Commission accrued on the INVOICE date instead of the CASE date. Cases done in March and invoiced in May are a liability at 31 March, and an invoice-basis book does not carry them. The Accrual sheet puts a dollar figure on the difference.</t>
        </is>
      </c>
    </row>
    <row r="10" ht="30" customHeight="1">
      <c r="B10" s="4" t="inlineStr">
        <is>
          <t>ONE blended DSO across every hospital, when one system pays in 45 days and another in 110. The mix, not the average, is what decides whether payroll is comfortable in March. The Cash sheet runs both and shows the gap.</t>
        </is>
      </c>
    </row>
    <row r="12">
      <c r="B12" s="3" t="inlineStr">
        <is>
          <t>THE COLOUR RULE (learn this once and the whole file is readable)</t>
        </is>
      </c>
    </row>
    <row r="13" ht="15" customHeight="1">
      <c r="B13" s="4" t="inlineStr">
        <is>
          <t>YELLOW cell  =  an input. Type over it.</t>
        </is>
      </c>
    </row>
    <row r="14" ht="15" customHeight="1">
      <c r="B14" s="4" t="inlineStr">
        <is>
          <t>BLACK text   =  a live formula. Leave it alone.</t>
        </is>
      </c>
    </row>
    <row r="15" ht="15" customHeight="1">
      <c r="B15" s="4" t="inlineStr">
        <is>
          <t>GREEN band   =  a section header.</t>
        </is>
      </c>
    </row>
    <row r="16" ht="15" customHeight="1">
      <c r="B16" s="4" t="inlineStr">
        <is>
          <t>RED flag     =  the model is telling you something. Go and look at it.</t>
        </is>
      </c>
    </row>
    <row r="17" ht="15" customHeight="1">
      <c r="B17" s="4" t="inlineStr">
        <is>
          <t>CHECKS sheet =  tie-outs. Every row must read OK before anyone relies on this file.</t>
        </is>
      </c>
    </row>
    <row r="19">
      <c r="B19" s="3" t="inlineStr">
        <is>
          <t>HOW IT IS WIRED</t>
        </is>
      </c>
    </row>
    <row r="20" ht="15" customHeight="1">
      <c r="B20" s="4" t="inlineStr">
        <is>
          <t>Cases is the paste grid — one row per case, exactly as it comes out of the case log.</t>
        </is>
      </c>
    </row>
    <row r="21" ht="30" customHeight="1">
      <c r="B21" s="4" t="inlineStr">
        <is>
          <t>Commission turns each case into a commission number: plan rate by product line, the accelerator once a rep passes the threshold, the split on shared cases, and the clawback when a case is credited.</t>
        </is>
      </c>
    </row>
    <row r="22" ht="30" customHeight="1">
      <c r="B22" s="4" t="inlineStr">
        <is>
          <t>Every periodic sheet is bucketed on an integer month key (year x 12 + month), so a case lands in exactly one month and nothing is double counted.</t>
        </is>
      </c>
    </row>
    <row r="23" ht="30" customHeight="1">
      <c r="B23" s="4" t="inlineStr">
        <is>
          <t>Accrual rolls the liability forward: opening, plus earned, less paid, equals closing — and then recomputes closing straight from the case detail as an independent proof.</t>
        </is>
      </c>
    </row>
    <row r="24" ht="30" customHeight="1">
      <c r="B24" s="4" t="inlineStr">
        <is>
          <t>Cash collects each invoice on its own health system's DSO, then runs the same book again on one blended rate so the timing error is visible in dollars.</t>
        </is>
      </c>
    </row>
    <row r="26">
      <c r="B26" s="3" t="inlineStr">
        <is>
          <t>SHEETS IN THIS FILE</t>
        </is>
      </c>
    </row>
    <row r="27" ht="15" customHeight="1">
      <c r="B27" s="4" t="inlineStr">
        <is>
          <t>README · Inputs · Cases · Commission · Accrual · Cash · Collect · Checks</t>
        </is>
      </c>
    </row>
    <row r="29">
      <c r="B29" s="3" t="inlineStr">
        <is>
          <t>BEFORE YOU RELY ON IT</t>
        </is>
      </c>
    </row>
    <row r="30" ht="15" customHeight="1">
      <c r="B30" s="4" t="inlineStr">
        <is>
          <t>1.  CHECKS sheet — every row reads OK and the summary says ALL CHECKS PASS.</t>
        </is>
      </c>
    </row>
    <row r="31" ht="15" customHeight="1">
      <c r="B31" s="4" t="inlineStr">
        <is>
          <t>2.  No typed number sits in a calculation cell. Every assumption is on Inputs.</t>
        </is>
      </c>
    </row>
    <row r="32" ht="15" customHeight="1">
      <c r="B32" s="4" t="inlineStr">
        <is>
          <t>3.  Break a check on purpose once. A tie-out you have never seen go red is not a tie-out.</t>
        </is>
      </c>
    </row>
    <row r="34">
      <c r="A34" s="5" t="n"/>
      <c r="B34" s="5" t="n"/>
    </row>
    <row r="35">
      <c r="A35" s="6" t="inlineStr">
        <is>
          <t>Spreadsheet Studio template v1.0  ·  built for this client, formulas live</t>
        </is>
      </c>
    </row>
  </sheetData>
  <pageMargins left="0.75" right="0.75" top="1" bottom="1" header="0.5" footer="0.5"/>
  <pageSetup orientation="landscape" fitToWidth="1"/>
</worksheet>
</file>

<file path=xl/worksheets/sheet2.xml><?xml version="1.0" encoding="utf-8"?>
<worksheet xmlns="http://schemas.openxmlformats.org/spreadsheetml/2006/main">
  <sheetPr>
    <tabColor rgb="001F6F4A"/>
    <outlinePr summaryBelow="1" summaryRight="1"/>
    <pageSetUpPr fitToPage="1"/>
  </sheetPr>
  <dimension ref="A2:D34"/>
  <sheetViews>
    <sheetView showGridLines="0" zoomScale="120" workbookViewId="0">
      <selection activeCell="A1" sqref="A1"/>
    </sheetView>
  </sheetViews>
  <sheetFormatPr baseColWidth="8" defaultRowHeight="15"/>
  <cols>
    <col width="46" customWidth="1" min="1" max="1"/>
    <col width="14" customWidth="1" min="2" max="2"/>
    <col width="3" customWidth="1" min="3" max="3"/>
    <col width="64" customWidth="1" min="4" max="4"/>
  </cols>
  <sheetData>
    <row r="2">
      <c r="A2" s="1" t="inlineStr">
        <is>
          <t>Inputs</t>
        </is>
      </c>
    </row>
    <row r="3">
      <c r="A3" s="2" t="inlineStr">
        <is>
          <t>Every assumption in this file lives on this sheet. Yellow means type over it.</t>
        </is>
      </c>
    </row>
    <row r="5">
      <c r="A5" s="7" t="inlineStr">
        <is>
          <t>ENGAGEMENT</t>
        </is>
      </c>
      <c r="B5" s="8" t="n"/>
      <c r="C5" s="8" t="n"/>
      <c r="D5" s="8" t="n"/>
    </row>
    <row r="6">
      <c r="A6" s="9" t="inlineStr">
        <is>
          <t>Company</t>
        </is>
      </c>
      <c r="B6" s="10" t="inlineStr">
        <is>
          <t>Kestrel Ridge Surgical Partners</t>
        </is>
      </c>
      <c r="D6" s="11" t="inlineStr">
        <is>
          <t>Shown in every sheet heading.</t>
        </is>
      </c>
    </row>
    <row r="7">
      <c r="A7" s="9" t="inlineStr">
        <is>
          <t>First month in view</t>
        </is>
      </c>
      <c r="B7" s="12" t="n">
        <v>46023</v>
      </c>
      <c r="D7" s="11" t="inlineStr">
        <is>
          <t>Every month column in the file rolls off this one date.</t>
        </is>
      </c>
    </row>
    <row r="9">
      <c r="A9" s="7" t="inlineStr">
        <is>
          <t>COMMISSION PLAN</t>
        </is>
      </c>
      <c r="B9" s="8" t="n"/>
      <c r="C9" s="8" t="n"/>
      <c r="D9" s="8" t="n"/>
    </row>
    <row r="10">
      <c r="A10" s="9" t="inlineStr">
        <is>
          <t>Accelerator threshold — rep case revenue YTD</t>
        </is>
      </c>
      <c r="B10" s="13" t="n">
        <v>300000</v>
      </c>
      <c r="D10" s="11" t="inlineStr">
        <is>
          <t>Once a rep's year-to-date case revenue passes this, the accelerator applies.</t>
        </is>
      </c>
    </row>
    <row r="11">
      <c r="A11" s="9" t="inlineStr">
        <is>
          <t>Accelerator multiplier above the threshold</t>
        </is>
      </c>
      <c r="B11" s="14" t="n">
        <v>1.25</v>
      </c>
      <c r="D11" s="11" t="inlineStr">
        <is>
          <t>Applied to the whole case commission, including the case that crosses.</t>
        </is>
      </c>
    </row>
    <row r="12">
      <c r="A12" s="9" t="inlineStr">
        <is>
          <t>Shared-case split to each rep</t>
        </is>
      </c>
      <c r="B12" s="15" t="n">
        <v>0.5</v>
      </c>
      <c r="D12" s="11" t="inlineStr">
        <is>
          <t>Used on any case flagged Y in the Shared column.</t>
        </is>
      </c>
    </row>
    <row r="13">
      <c r="A13" s="9" t="inlineStr">
        <is>
          <t>Clawback on a credited case</t>
        </is>
      </c>
      <c r="B13" s="15" t="n">
        <v>1</v>
      </c>
      <c r="D13" s="11" t="inlineStr">
        <is>
          <t>1.00 reverses the commission in full when a case is credited.</t>
        </is>
      </c>
    </row>
    <row r="14">
      <c r="A14" s="9" t="inlineStr">
        <is>
          <t>Commission paid this many months after invoice</t>
        </is>
      </c>
      <c r="B14" s="16" t="n">
        <v>1</v>
      </c>
      <c r="D14" s="11" t="inlineStr">
        <is>
          <t>When cash leaves. It has nothing to do with when the commission is EARNED.</t>
        </is>
      </c>
    </row>
    <row r="15">
      <c r="A15" s="9" t="inlineStr">
        <is>
          <t>Opening accrued commission at 1 January</t>
        </is>
      </c>
      <c r="B15" s="13" t="n">
        <v>28400</v>
      </c>
      <c r="D15" s="11" t="inlineStr">
        <is>
          <t>Carried in from last year's Q4 cases.</t>
        </is>
      </c>
    </row>
    <row r="16">
      <c r="A16" s="9" t="inlineStr">
        <is>
          <t>Prior-year commission paid out in January</t>
        </is>
      </c>
      <c r="B16" s="13" t="n">
        <v>28400</v>
      </c>
      <c r="D16" s="11" t="inlineStr">
        <is>
          <t>The opening balance clearing. Keeps the roll-forward honest.</t>
        </is>
      </c>
    </row>
    <row r="18">
      <c r="A18" s="7" t="inlineStr">
        <is>
          <t>COMMISSION RATE BY PRODUCT LINE</t>
        </is>
      </c>
      <c r="B18" s="8" t="n"/>
      <c r="C18" s="8" t="n"/>
      <c r="D18" s="8" t="n"/>
    </row>
    <row r="19">
      <c r="A19" s="17" t="inlineStr">
        <is>
          <t>Product line</t>
        </is>
      </c>
      <c r="B19" s="17" t="inlineStr">
        <is>
          <t>Rate</t>
        </is>
      </c>
      <c r="C19" s="17" t="inlineStr"/>
      <c r="D19" s="17" t="inlineStr"/>
    </row>
    <row r="20">
      <c r="A20" s="18" t="inlineStr">
        <is>
          <t>Spine</t>
        </is>
      </c>
      <c r="B20" s="15" t="n">
        <v>0.08500000000000001</v>
      </c>
    </row>
    <row r="21">
      <c r="A21" s="18" t="inlineStr">
        <is>
          <t>Extremities</t>
        </is>
      </c>
      <c r="B21" s="15" t="n">
        <v>0.07000000000000001</v>
      </c>
    </row>
    <row r="22">
      <c r="A22" s="18" t="inlineStr">
        <is>
          <t>Biologics</t>
        </is>
      </c>
      <c r="B22" s="15" t="n">
        <v>0.06</v>
      </c>
    </row>
    <row r="23">
      <c r="A23" s="11" t="inlineStr">
        <is>
          <t>The Commission sheet reads this table with INDEX/MATCH. Add a line here and the whole model picks it up.</t>
        </is>
      </c>
    </row>
    <row r="25">
      <c r="A25" s="7" t="inlineStr">
        <is>
          <t>HOW EACH HOSPITAL SYSTEM ACTUALLY PAYS</t>
        </is>
      </c>
      <c r="B25" s="8" t="n"/>
      <c r="C25" s="8" t="n"/>
      <c r="D25" s="8" t="n"/>
    </row>
    <row r="26">
      <c r="A26" s="17" t="inlineStr">
        <is>
          <t>Health system</t>
        </is>
      </c>
      <c r="B26" s="17" t="inlineStr">
        <is>
          <t>DSO (days)</t>
        </is>
      </c>
      <c r="C26" s="17" t="inlineStr"/>
      <c r="D26" s="17" t="inlineStr">
        <is>
          <t>How they pay</t>
        </is>
      </c>
    </row>
    <row r="27">
      <c r="A27" s="18" t="inlineStr">
        <is>
          <t>Meridian Valley Health System</t>
        </is>
      </c>
      <c r="B27" s="19" t="n">
        <v>110</v>
      </c>
      <c r="D27" s="11" t="inlineStr">
        <is>
          <t>Large system, central AP, pays on its own schedule.</t>
        </is>
      </c>
    </row>
    <row r="28">
      <c r="A28" s="18" t="inlineStr">
        <is>
          <t>Alderwood Regional Medical Center</t>
        </is>
      </c>
      <c r="B28" s="19" t="n">
        <v>45</v>
      </c>
      <c r="D28" s="11" t="inlineStr">
        <is>
          <t>Single site, pays close to terms.</t>
        </is>
      </c>
    </row>
    <row r="29">
      <c r="A29" s="18" t="inlineStr">
        <is>
          <t>Fenmore County Hospital District</t>
        </is>
      </c>
      <c r="B29" s="19" t="n">
        <v>78</v>
      </c>
      <c r="D29" s="11" t="inlineStr">
        <is>
          <t>Public district — warrant run twice a month.</t>
        </is>
      </c>
    </row>
    <row r="30">
      <c r="A30" s="18" t="inlineStr">
        <is>
          <t>Kingsbridge Orthopedic Institute</t>
        </is>
      </c>
      <c r="B30" s="19" t="n">
        <v>62</v>
      </c>
      <c r="D30" s="11" t="inlineStr">
        <is>
          <t>Specialty hospital, clean claims, few disputes.</t>
        </is>
      </c>
    </row>
    <row r="31">
      <c r="A31" s="11" t="inlineStr">
        <is>
          <t>These four numbers are the cash forecast. A single blended figure in their place is the most expensive rounding in the business.</t>
        </is>
      </c>
    </row>
    <row r="33">
      <c r="A33" s="5" t="n"/>
      <c r="B33" s="5" t="n"/>
      <c r="C33" s="5" t="n"/>
      <c r="D33" s="5" t="n"/>
    </row>
    <row r="34">
      <c r="A34" s="6" t="inlineStr">
        <is>
          <t>Spreadsheet Studio template v1.0  ·  built for this client, formulas live</t>
        </is>
      </c>
    </row>
  </sheetData>
  <pageMargins left="0.75" right="0.75" top="1" bottom="1" header="0.5" footer="0.5"/>
  <pageSetup orientation="landscape" fitToWidth="1"/>
</worksheet>
</file>

<file path=xl/worksheets/sheet3.xml><?xml version="1.0" encoding="utf-8"?>
<worksheet xmlns="http://schemas.openxmlformats.org/spreadsheetml/2006/main">
  <sheetPr>
    <tabColor rgb="001F6F4A"/>
    <outlinePr summaryBelow="1" summaryRight="1"/>
    <pageSetUpPr fitToPage="1"/>
  </sheetPr>
  <dimension ref="A2:J42"/>
  <sheetViews>
    <sheetView showGridLines="0" zoomScale="110" workbookViewId="0">
      <pane xSplit="2" ySplit="5" topLeftCell="C6" activePane="bottomRight" state="frozen"/>
      <selection pane="topRight"/>
      <selection pane="bottomLeft"/>
      <selection pane="bottomRight" activeCell="A1" sqref="A1"/>
    </sheetView>
  </sheetViews>
  <sheetFormatPr baseColWidth="8" defaultRowHeight="15"/>
  <cols>
    <col width="11" customWidth="1" min="1" max="1"/>
    <col width="12" customWidth="1" min="2" max="2"/>
    <col width="15" customWidth="1" min="3" max="3"/>
    <col width="32" customWidth="1" min="4" max="4"/>
    <col width="13" customWidth="1" min="5" max="5"/>
    <col width="12" customWidth="1" min="6" max="6"/>
    <col width="13" customWidth="1" min="7" max="7"/>
    <col width="13" customWidth="1" min="8" max="8"/>
    <col width="12" customWidth="1" min="9" max="9"/>
    <col width="11" customWidth="1" min="10" max="10"/>
  </cols>
  <sheetData>
    <row r="2">
      <c r="A2" s="1">
        <f>Client_Name&amp;" — cases performed"</f>
        <v/>
      </c>
    </row>
    <row r="3">
      <c r="A3" s="2" t="inlineStr">
        <is>
          <t>The paste grid. One row per case, straight from the case log. Every cell is yellow because every cell is theirs.</t>
        </is>
      </c>
    </row>
    <row r="5">
      <c r="A5" s="17" t="inlineStr">
        <is>
          <t>Case ID</t>
        </is>
      </c>
      <c r="B5" s="17" t="inlineStr">
        <is>
          <t>Case date</t>
        </is>
      </c>
      <c r="C5" s="17" t="inlineStr">
        <is>
          <t>Rep</t>
        </is>
      </c>
      <c r="D5" s="17" t="inlineStr">
        <is>
          <t>Health system</t>
        </is>
      </c>
      <c r="E5" s="17" t="inlineStr">
        <is>
          <t>Product line</t>
        </is>
      </c>
      <c r="F5" s="17" t="inlineStr">
        <is>
          <t>Invoice date</t>
        </is>
      </c>
      <c r="G5" s="17" t="inlineStr">
        <is>
          <t>Net revenue</t>
        </is>
      </c>
      <c r="H5" s="17" t="inlineStr">
        <is>
          <t>Product cost</t>
        </is>
      </c>
      <c r="I5" s="17" t="inlineStr">
        <is>
          <t>Shared</t>
        </is>
      </c>
      <c r="J5" s="17" t="inlineStr">
        <is>
          <t>Credited</t>
        </is>
      </c>
    </row>
    <row r="6">
      <c r="A6" s="20" t="inlineStr">
        <is>
          <t>KR-1001</t>
        </is>
      </c>
      <c r="B6" s="12" t="n">
        <v>46028</v>
      </c>
      <c r="C6" s="18" t="inlineStr">
        <is>
          <t>D. Marchetti</t>
        </is>
      </c>
      <c r="D6" s="18" t="inlineStr">
        <is>
          <t>Alderwood Regional Medical Center</t>
        </is>
      </c>
      <c r="E6" s="18" t="inlineStr">
        <is>
          <t>Spine</t>
        </is>
      </c>
      <c r="F6" s="12" t="n">
        <v>46036</v>
      </c>
      <c r="G6" s="13" t="n">
        <v>38400</v>
      </c>
      <c r="H6" s="13" t="n">
        <v>23800</v>
      </c>
      <c r="I6" s="20" t="inlineStr">
        <is>
          <t>N</t>
        </is>
      </c>
      <c r="J6" s="20" t="inlineStr">
        <is>
          <t>N</t>
        </is>
      </c>
    </row>
    <row r="7">
      <c r="A7" s="20" t="inlineStr">
        <is>
          <t>KR-1002</t>
        </is>
      </c>
      <c r="B7" s="12" t="n">
        <v>46030</v>
      </c>
      <c r="C7" s="18" t="inlineStr">
        <is>
          <t>R. Okafor</t>
        </is>
      </c>
      <c r="D7" s="18" t="inlineStr">
        <is>
          <t>Meridian Valley Health System</t>
        </is>
      </c>
      <c r="E7" s="18" t="inlineStr">
        <is>
          <t>Spine</t>
        </is>
      </c>
      <c r="F7" s="12" t="n">
        <v>46064</v>
      </c>
      <c r="G7" s="13" t="n">
        <v>52600</v>
      </c>
      <c r="H7" s="13" t="n">
        <v>33100</v>
      </c>
      <c r="I7" s="20" t="inlineStr">
        <is>
          <t>N</t>
        </is>
      </c>
      <c r="J7" s="20" t="inlineStr">
        <is>
          <t>N</t>
        </is>
      </c>
    </row>
    <row r="8">
      <c r="A8" s="20" t="inlineStr">
        <is>
          <t>KR-1003</t>
        </is>
      </c>
      <c r="B8" s="12" t="n">
        <v>46035</v>
      </c>
      <c r="C8" s="18" t="inlineStr">
        <is>
          <t>T. Lindqvist</t>
        </is>
      </c>
      <c r="D8" s="18" t="inlineStr">
        <is>
          <t>Fenmore County Hospital District</t>
        </is>
      </c>
      <c r="E8" s="18" t="inlineStr">
        <is>
          <t>Extremities</t>
        </is>
      </c>
      <c r="F8" s="12" t="n">
        <v>46051</v>
      </c>
      <c r="G8" s="13" t="n">
        <v>14200</v>
      </c>
      <c r="H8" s="13" t="n">
        <v>8900</v>
      </c>
      <c r="I8" s="20" t="inlineStr">
        <is>
          <t>N</t>
        </is>
      </c>
      <c r="J8" s="20" t="inlineStr">
        <is>
          <t>N</t>
        </is>
      </c>
    </row>
    <row r="9">
      <c r="A9" s="20" t="inlineStr">
        <is>
          <t>KR-1004</t>
        </is>
      </c>
      <c r="B9" s="12" t="n">
        <v>46041</v>
      </c>
      <c r="C9" s="18" t="inlineStr">
        <is>
          <t>D. Marchetti</t>
        </is>
      </c>
      <c r="D9" s="18" t="inlineStr">
        <is>
          <t>Kingsbridge Orthopedic Institute</t>
        </is>
      </c>
      <c r="E9" s="18" t="inlineStr">
        <is>
          <t>Biologics</t>
        </is>
      </c>
      <c r="F9" s="12" t="n">
        <v>46055</v>
      </c>
      <c r="G9" s="13" t="n">
        <v>6800</v>
      </c>
      <c r="H9" s="13" t="n">
        <v>4300</v>
      </c>
      <c r="I9" s="20" t="inlineStr">
        <is>
          <t>N</t>
        </is>
      </c>
      <c r="J9" s="20" t="inlineStr">
        <is>
          <t>N</t>
        </is>
      </c>
    </row>
    <row r="10">
      <c r="A10" s="20" t="inlineStr">
        <is>
          <t>KR-1005</t>
        </is>
      </c>
      <c r="B10" s="12" t="n">
        <v>46044</v>
      </c>
      <c r="C10" s="18" t="inlineStr">
        <is>
          <t>R. Okafor</t>
        </is>
      </c>
      <c r="D10" s="18" t="inlineStr">
        <is>
          <t>Alderwood Regional Medical Center</t>
        </is>
      </c>
      <c r="E10" s="18" t="inlineStr">
        <is>
          <t>Spine</t>
        </is>
      </c>
      <c r="F10" s="12" t="n">
        <v>46052</v>
      </c>
      <c r="G10" s="13" t="n">
        <v>41900</v>
      </c>
      <c r="H10" s="13" t="n">
        <v>26100</v>
      </c>
      <c r="I10" s="20" t="inlineStr">
        <is>
          <t>Y</t>
        </is>
      </c>
      <c r="J10" s="20" t="inlineStr">
        <is>
          <t>N</t>
        </is>
      </c>
    </row>
    <row r="11">
      <c r="A11" s="20" t="inlineStr">
        <is>
          <t>KR-1006</t>
        </is>
      </c>
      <c r="B11" s="12" t="n">
        <v>46049</v>
      </c>
      <c r="C11" s="18" t="inlineStr">
        <is>
          <t>T. Lindqvist</t>
        </is>
      </c>
      <c r="D11" s="18" t="inlineStr">
        <is>
          <t>Meridian Valley Health System</t>
        </is>
      </c>
      <c r="E11" s="18" t="inlineStr">
        <is>
          <t>Extremities</t>
        </is>
      </c>
      <c r="F11" s="12" t="n">
        <v>46072</v>
      </c>
      <c r="G11" s="13" t="n">
        <v>18700</v>
      </c>
      <c r="H11" s="13" t="n">
        <v>11600</v>
      </c>
      <c r="I11" s="20" t="inlineStr">
        <is>
          <t>N</t>
        </is>
      </c>
      <c r="J11" s="20" t="inlineStr">
        <is>
          <t>N</t>
        </is>
      </c>
    </row>
    <row r="12">
      <c r="A12" s="20" t="inlineStr">
        <is>
          <t>KR-1007</t>
        </is>
      </c>
      <c r="B12" s="12" t="n">
        <v>46056</v>
      </c>
      <c r="C12" s="18" t="inlineStr">
        <is>
          <t>D. Marchetti</t>
        </is>
      </c>
      <c r="D12" s="18" t="inlineStr">
        <is>
          <t>Fenmore County Hospital District</t>
        </is>
      </c>
      <c r="E12" s="18" t="inlineStr">
        <is>
          <t>Spine</t>
        </is>
      </c>
      <c r="F12" s="12" t="n">
        <v>46077</v>
      </c>
      <c r="G12" s="13" t="n">
        <v>47300</v>
      </c>
      <c r="H12" s="13" t="n">
        <v>29400</v>
      </c>
      <c r="I12" s="20" t="inlineStr">
        <is>
          <t>N</t>
        </is>
      </c>
      <c r="J12" s="20" t="inlineStr">
        <is>
          <t>N</t>
        </is>
      </c>
    </row>
    <row r="13">
      <c r="A13" s="20" t="inlineStr">
        <is>
          <t>KR-1008</t>
        </is>
      </c>
      <c r="B13" s="12" t="n">
        <v>46058</v>
      </c>
      <c r="C13" s="18" t="inlineStr">
        <is>
          <t>R. Okafor</t>
        </is>
      </c>
      <c r="D13" s="18" t="inlineStr">
        <is>
          <t>Meridian Valley Health System</t>
        </is>
      </c>
      <c r="E13" s="18" t="inlineStr">
        <is>
          <t>Spine</t>
        </is>
      </c>
      <c r="F13" s="12" t="n">
        <v>46097</v>
      </c>
      <c r="G13" s="13" t="n">
        <v>61200</v>
      </c>
      <c r="H13" s="13" t="n">
        <v>38200</v>
      </c>
      <c r="I13" s="20" t="inlineStr">
        <is>
          <t>N</t>
        </is>
      </c>
      <c r="J13" s="20" t="inlineStr">
        <is>
          <t>N</t>
        </is>
      </c>
    </row>
    <row r="14">
      <c r="A14" s="20" t="inlineStr">
        <is>
          <t>KR-1009</t>
        </is>
      </c>
      <c r="B14" s="12" t="n">
        <v>46064</v>
      </c>
      <c r="C14" s="18" t="inlineStr">
        <is>
          <t>T. Lindqvist</t>
        </is>
      </c>
      <c r="D14" s="18" t="inlineStr">
        <is>
          <t>Alderwood Regional Medical Center</t>
        </is>
      </c>
      <c r="E14" s="18" t="inlineStr">
        <is>
          <t>Biologics</t>
        </is>
      </c>
      <c r="F14" s="12" t="n">
        <v>46071</v>
      </c>
      <c r="G14" s="13" t="n">
        <v>5400</v>
      </c>
      <c r="H14" s="13" t="n">
        <v>3400</v>
      </c>
      <c r="I14" s="20" t="inlineStr">
        <is>
          <t>N</t>
        </is>
      </c>
      <c r="J14" s="20" t="inlineStr">
        <is>
          <t>N</t>
        </is>
      </c>
    </row>
    <row r="15">
      <c r="A15" s="20" t="inlineStr">
        <is>
          <t>KR-1010</t>
        </is>
      </c>
      <c r="B15" s="12" t="n">
        <v>46070</v>
      </c>
      <c r="C15" s="18" t="inlineStr">
        <is>
          <t>D. Marchetti</t>
        </is>
      </c>
      <c r="D15" s="18" t="inlineStr">
        <is>
          <t>Kingsbridge Orthopedic Institute</t>
        </is>
      </c>
      <c r="E15" s="18" t="inlineStr">
        <is>
          <t>Extremities</t>
        </is>
      </c>
      <c r="F15" s="12" t="n">
        <v>46084</v>
      </c>
      <c r="G15" s="13" t="n">
        <v>21600</v>
      </c>
      <c r="H15" s="13" t="n">
        <v>13500</v>
      </c>
      <c r="I15" s="20" t="inlineStr">
        <is>
          <t>N</t>
        </is>
      </c>
      <c r="J15" s="20" t="inlineStr">
        <is>
          <t>N</t>
        </is>
      </c>
    </row>
    <row r="16">
      <c r="A16" s="20" t="inlineStr">
        <is>
          <t>KR-1011</t>
        </is>
      </c>
      <c r="B16" s="12" t="n">
        <v>46077</v>
      </c>
      <c r="C16" s="18" t="inlineStr">
        <is>
          <t>R. Okafor</t>
        </is>
      </c>
      <c r="D16" s="18" t="inlineStr">
        <is>
          <t>Fenmore County Hospital District</t>
        </is>
      </c>
      <c r="E16" s="18" t="inlineStr">
        <is>
          <t>Spine</t>
        </is>
      </c>
      <c r="F16" s="12" t="n">
        <v>46093</v>
      </c>
      <c r="G16" s="13" t="n">
        <v>35800</v>
      </c>
      <c r="H16" s="13" t="n">
        <v>22300</v>
      </c>
      <c r="I16" s="20" t="inlineStr">
        <is>
          <t>N</t>
        </is>
      </c>
      <c r="J16" s="20" t="inlineStr">
        <is>
          <t>Y</t>
        </is>
      </c>
    </row>
    <row r="17">
      <c r="A17" s="20" t="inlineStr">
        <is>
          <t>KR-1012</t>
        </is>
      </c>
      <c r="B17" s="12" t="n">
        <v>46079</v>
      </c>
      <c r="C17" s="18" t="inlineStr">
        <is>
          <t>T. Lindqvist</t>
        </is>
      </c>
      <c r="D17" s="18" t="inlineStr">
        <is>
          <t>Meridian Valley Health System</t>
        </is>
      </c>
      <c r="E17" s="18" t="inlineStr">
        <is>
          <t>Spine</t>
        </is>
      </c>
      <c r="F17" s="12" t="n">
        <v>46120</v>
      </c>
      <c r="G17" s="13" t="n">
        <v>58100</v>
      </c>
      <c r="H17" s="13" t="n">
        <v>36300</v>
      </c>
      <c r="I17" s="20" t="inlineStr">
        <is>
          <t>N</t>
        </is>
      </c>
      <c r="J17" s="20" t="inlineStr">
        <is>
          <t>N</t>
        </is>
      </c>
    </row>
    <row r="18">
      <c r="A18" s="20" t="inlineStr">
        <is>
          <t>KR-1013</t>
        </is>
      </c>
      <c r="B18" s="12" t="n">
        <v>46083</v>
      </c>
      <c r="C18" s="18" t="inlineStr">
        <is>
          <t>D. Marchetti</t>
        </is>
      </c>
      <c r="D18" s="18" t="inlineStr">
        <is>
          <t>Alderwood Regional Medical Center</t>
        </is>
      </c>
      <c r="E18" s="18" t="inlineStr">
        <is>
          <t>Spine</t>
        </is>
      </c>
      <c r="F18" s="12" t="n">
        <v>46091</v>
      </c>
      <c r="G18" s="13" t="n">
        <v>44700</v>
      </c>
      <c r="H18" s="13" t="n">
        <v>27900</v>
      </c>
      <c r="I18" s="20" t="inlineStr">
        <is>
          <t>N</t>
        </is>
      </c>
      <c r="J18" s="20" t="inlineStr">
        <is>
          <t>N</t>
        </is>
      </c>
    </row>
    <row r="19">
      <c r="A19" s="20" t="inlineStr">
        <is>
          <t>KR-1014</t>
        </is>
      </c>
      <c r="B19" s="12" t="n">
        <v>46087</v>
      </c>
      <c r="C19" s="18" t="inlineStr">
        <is>
          <t>R. Okafor</t>
        </is>
      </c>
      <c r="D19" s="18" t="inlineStr">
        <is>
          <t>Kingsbridge Orthopedic Institute</t>
        </is>
      </c>
      <c r="E19" s="18" t="inlineStr">
        <is>
          <t>Biologics</t>
        </is>
      </c>
      <c r="F19" s="12" t="n">
        <v>46104</v>
      </c>
      <c r="G19" s="13" t="n">
        <v>8100</v>
      </c>
      <c r="H19" s="13" t="n">
        <v>5100</v>
      </c>
      <c r="I19" s="20" t="inlineStr">
        <is>
          <t>N</t>
        </is>
      </c>
      <c r="J19" s="20" t="inlineStr">
        <is>
          <t>N</t>
        </is>
      </c>
    </row>
    <row r="20">
      <c r="A20" s="20" t="inlineStr">
        <is>
          <t>KR-1015</t>
        </is>
      </c>
      <c r="B20" s="12" t="n">
        <v>46092</v>
      </c>
      <c r="C20" s="18" t="inlineStr">
        <is>
          <t>T. Lindqvist</t>
        </is>
      </c>
      <c r="D20" s="18" t="inlineStr">
        <is>
          <t>Fenmore County Hospital District</t>
        </is>
      </c>
      <c r="E20" s="18" t="inlineStr">
        <is>
          <t>Extremities</t>
        </is>
      </c>
      <c r="F20" s="12" t="n">
        <v>46114</v>
      </c>
      <c r="G20" s="13" t="n">
        <v>16900</v>
      </c>
      <c r="H20" s="13" t="n">
        <v>10500</v>
      </c>
      <c r="I20" s="20" t="inlineStr">
        <is>
          <t>Y</t>
        </is>
      </c>
      <c r="J20" s="20" t="inlineStr">
        <is>
          <t>N</t>
        </is>
      </c>
    </row>
    <row r="21">
      <c r="A21" s="20" t="inlineStr">
        <is>
          <t>KR-1016</t>
        </is>
      </c>
      <c r="B21" s="12" t="n">
        <v>46098</v>
      </c>
      <c r="C21" s="18" t="inlineStr">
        <is>
          <t>D. Marchetti</t>
        </is>
      </c>
      <c r="D21" s="18" t="inlineStr">
        <is>
          <t>Meridian Valley Health System</t>
        </is>
      </c>
      <c r="E21" s="18" t="inlineStr">
        <is>
          <t>Spine</t>
        </is>
      </c>
      <c r="F21" s="12" t="n">
        <v>46133</v>
      </c>
      <c r="G21" s="13" t="n">
        <v>55400</v>
      </c>
      <c r="H21" s="13" t="n">
        <v>34600</v>
      </c>
      <c r="I21" s="20" t="inlineStr">
        <is>
          <t>N</t>
        </is>
      </c>
      <c r="J21" s="20" t="inlineStr">
        <is>
          <t>N</t>
        </is>
      </c>
    </row>
    <row r="22">
      <c r="A22" s="20" t="inlineStr">
        <is>
          <t>KR-1017</t>
        </is>
      </c>
      <c r="B22" s="12" t="n">
        <v>46104</v>
      </c>
      <c r="C22" s="18" t="inlineStr">
        <is>
          <t>R. Okafor</t>
        </is>
      </c>
      <c r="D22" s="18" t="inlineStr">
        <is>
          <t>Alderwood Regional Medical Center</t>
        </is>
      </c>
      <c r="E22" s="18" t="inlineStr">
        <is>
          <t>Extremities</t>
        </is>
      </c>
      <c r="F22" s="12" t="n">
        <v>46112</v>
      </c>
      <c r="G22" s="13" t="n">
        <v>19800</v>
      </c>
      <c r="H22" s="13" t="n">
        <v>12400</v>
      </c>
      <c r="I22" s="20" t="inlineStr">
        <is>
          <t>N</t>
        </is>
      </c>
      <c r="J22" s="20" t="inlineStr">
        <is>
          <t>N</t>
        </is>
      </c>
    </row>
    <row r="23">
      <c r="A23" s="20" t="inlineStr">
        <is>
          <t>KR-1018</t>
        </is>
      </c>
      <c r="B23" s="12" t="n">
        <v>46108</v>
      </c>
      <c r="C23" s="18" t="inlineStr">
        <is>
          <t>T. Lindqvist</t>
        </is>
      </c>
      <c r="D23" s="18" t="inlineStr">
        <is>
          <t>Kingsbridge Orthopedic Institute</t>
        </is>
      </c>
      <c r="E23" s="18" t="inlineStr">
        <is>
          <t>Spine</t>
        </is>
      </c>
      <c r="F23" s="12" t="n">
        <v>46147</v>
      </c>
      <c r="G23" s="13" t="n">
        <v>49600</v>
      </c>
      <c r="H23" s="13" t="n">
        <v>31000</v>
      </c>
      <c r="I23" s="20" t="inlineStr">
        <is>
          <t>N</t>
        </is>
      </c>
      <c r="J23" s="20" t="inlineStr">
        <is>
          <t>N</t>
        </is>
      </c>
    </row>
    <row r="24">
      <c r="A24" s="20" t="inlineStr">
        <is>
          <t>KR-1019</t>
        </is>
      </c>
      <c r="B24" s="12" t="n">
        <v>46114</v>
      </c>
      <c r="C24" s="18" t="inlineStr">
        <is>
          <t>D. Marchetti</t>
        </is>
      </c>
      <c r="D24" s="18" t="inlineStr">
        <is>
          <t>Fenmore County Hospital District</t>
        </is>
      </c>
      <c r="E24" s="18" t="inlineStr">
        <is>
          <t>Spine</t>
        </is>
      </c>
      <c r="F24" s="12" t="n">
        <v>46132</v>
      </c>
      <c r="G24" s="13" t="n">
        <v>42100</v>
      </c>
      <c r="H24" s="13" t="n">
        <v>26300</v>
      </c>
      <c r="I24" s="20" t="inlineStr">
        <is>
          <t>N</t>
        </is>
      </c>
      <c r="J24" s="20" t="inlineStr">
        <is>
          <t>N</t>
        </is>
      </c>
    </row>
    <row r="25">
      <c r="A25" s="20" t="inlineStr">
        <is>
          <t>KR-1020</t>
        </is>
      </c>
      <c r="B25" s="12" t="n">
        <v>46119</v>
      </c>
      <c r="C25" s="18" t="inlineStr">
        <is>
          <t>R. Okafor</t>
        </is>
      </c>
      <c r="D25" s="18" t="inlineStr">
        <is>
          <t>Meridian Valley Health System</t>
        </is>
      </c>
      <c r="E25" s="18" t="inlineStr">
        <is>
          <t>Extremities</t>
        </is>
      </c>
      <c r="F25" s="12" t="n">
        <v>46148</v>
      </c>
      <c r="G25" s="13" t="n">
        <v>23400</v>
      </c>
      <c r="H25" s="13" t="n">
        <v>14600</v>
      </c>
      <c r="I25" s="20" t="inlineStr">
        <is>
          <t>N</t>
        </is>
      </c>
      <c r="J25" s="20" t="inlineStr">
        <is>
          <t>N</t>
        </is>
      </c>
    </row>
    <row r="26">
      <c r="A26" s="20" t="inlineStr">
        <is>
          <t>KR-1021</t>
        </is>
      </c>
      <c r="B26" s="12" t="n">
        <v>46126</v>
      </c>
      <c r="C26" s="18" t="inlineStr">
        <is>
          <t>T. Lindqvist</t>
        </is>
      </c>
      <c r="D26" s="18" t="inlineStr">
        <is>
          <t>Alderwood Regional Medical Center</t>
        </is>
      </c>
      <c r="E26" s="18" t="inlineStr">
        <is>
          <t>Biologics</t>
        </is>
      </c>
      <c r="F26" s="12" t="n">
        <v>46133</v>
      </c>
      <c r="G26" s="13" t="n">
        <v>7300</v>
      </c>
      <c r="H26" s="13" t="n">
        <v>4600</v>
      </c>
      <c r="I26" s="20" t="inlineStr">
        <is>
          <t>N</t>
        </is>
      </c>
      <c r="J26" s="20" t="inlineStr">
        <is>
          <t>N</t>
        </is>
      </c>
    </row>
    <row r="27">
      <c r="A27" s="20" t="inlineStr">
        <is>
          <t>KR-1022</t>
        </is>
      </c>
      <c r="B27" s="12" t="n">
        <v>46132</v>
      </c>
      <c r="C27" s="18" t="inlineStr">
        <is>
          <t>D. Marchetti</t>
        </is>
      </c>
      <c r="D27" s="18" t="inlineStr">
        <is>
          <t>Kingsbridge Orthopedic Institute</t>
        </is>
      </c>
      <c r="E27" s="18" t="inlineStr">
        <is>
          <t>Spine</t>
        </is>
      </c>
      <c r="F27" s="12" t="n">
        <v>46146</v>
      </c>
      <c r="G27" s="13" t="n">
        <v>51800</v>
      </c>
      <c r="H27" s="13" t="n">
        <v>32400</v>
      </c>
      <c r="I27" s="20" t="inlineStr">
        <is>
          <t>N</t>
        </is>
      </c>
      <c r="J27" s="20" t="inlineStr">
        <is>
          <t>N</t>
        </is>
      </c>
    </row>
    <row r="28">
      <c r="A28" s="20" t="inlineStr">
        <is>
          <t>KR-1023</t>
        </is>
      </c>
      <c r="B28" s="12" t="n">
        <v>46140</v>
      </c>
      <c r="C28" s="18" t="inlineStr">
        <is>
          <t>R. Okafor</t>
        </is>
      </c>
      <c r="D28" s="18" t="inlineStr">
        <is>
          <t>Fenmore County Hospital District</t>
        </is>
      </c>
      <c r="E28" s="18" t="inlineStr">
        <is>
          <t>Spine</t>
        </is>
      </c>
      <c r="F28" s="12" t="n">
        <v>46156</v>
      </c>
      <c r="G28" s="13" t="n">
        <v>39600</v>
      </c>
      <c r="H28" s="13" t="n">
        <v>24700</v>
      </c>
      <c r="I28" s="20" t="inlineStr">
        <is>
          <t>Y</t>
        </is>
      </c>
      <c r="J28" s="20" t="inlineStr">
        <is>
          <t>N</t>
        </is>
      </c>
    </row>
    <row r="29">
      <c r="A29" s="20" t="inlineStr">
        <is>
          <t>KR-1024</t>
        </is>
      </c>
      <c r="B29" s="12" t="n">
        <v>46147</v>
      </c>
      <c r="C29" s="18" t="inlineStr">
        <is>
          <t>T. Lindqvist</t>
        </is>
      </c>
      <c r="D29" s="18" t="inlineStr">
        <is>
          <t>Meridian Valley Health System</t>
        </is>
      </c>
      <c r="E29" s="18" t="inlineStr">
        <is>
          <t>Spine</t>
        </is>
      </c>
      <c r="F29" s="12" t="n">
        <v>46182</v>
      </c>
      <c r="G29" s="13" t="n">
        <v>64300</v>
      </c>
      <c r="H29" s="13" t="n">
        <v>40200</v>
      </c>
      <c r="I29" s="20" t="inlineStr">
        <is>
          <t>N</t>
        </is>
      </c>
      <c r="J29" s="20" t="inlineStr">
        <is>
          <t>N</t>
        </is>
      </c>
    </row>
    <row r="30">
      <c r="A30" s="20" t="inlineStr">
        <is>
          <t>KR-1025</t>
        </is>
      </c>
      <c r="B30" s="12" t="n">
        <v>46153</v>
      </c>
      <c r="C30" s="18" t="inlineStr">
        <is>
          <t>D. Marchetti</t>
        </is>
      </c>
      <c r="D30" s="18" t="inlineStr">
        <is>
          <t>Alderwood Regional Medical Center</t>
        </is>
      </c>
      <c r="E30" s="18" t="inlineStr">
        <is>
          <t>Extremities</t>
        </is>
      </c>
      <c r="F30" s="12" t="n">
        <v>46161</v>
      </c>
      <c r="G30" s="13" t="n">
        <v>20700</v>
      </c>
      <c r="H30" s="13" t="n">
        <v>12900</v>
      </c>
      <c r="I30" s="20" t="inlineStr">
        <is>
          <t>N</t>
        </is>
      </c>
      <c r="J30" s="20" t="inlineStr">
        <is>
          <t>N</t>
        </is>
      </c>
    </row>
    <row r="31">
      <c r="A31" s="20" t="inlineStr">
        <is>
          <t>KR-1026</t>
        </is>
      </c>
      <c r="B31" s="12" t="n">
        <v>46160</v>
      </c>
      <c r="C31" s="18" t="inlineStr">
        <is>
          <t>R. Okafor</t>
        </is>
      </c>
      <c r="D31" s="18" t="inlineStr">
        <is>
          <t>Kingsbridge Orthopedic Institute</t>
        </is>
      </c>
      <c r="E31" s="18" t="inlineStr">
        <is>
          <t>Spine</t>
        </is>
      </c>
      <c r="F31" s="12" t="n">
        <v>46174</v>
      </c>
      <c r="G31" s="13" t="n">
        <v>46200</v>
      </c>
      <c r="H31" s="13" t="n">
        <v>28900</v>
      </c>
      <c r="I31" s="20" t="inlineStr">
        <is>
          <t>N</t>
        </is>
      </c>
      <c r="J31" s="20" t="inlineStr">
        <is>
          <t>N</t>
        </is>
      </c>
    </row>
    <row r="32">
      <c r="A32" s="20" t="inlineStr">
        <is>
          <t>KR-1027</t>
        </is>
      </c>
      <c r="B32" s="12" t="n">
        <v>46168</v>
      </c>
      <c r="C32" s="18" t="inlineStr">
        <is>
          <t>T. Lindqvist</t>
        </is>
      </c>
      <c r="D32" s="18" t="inlineStr">
        <is>
          <t>Fenmore County Hospital District</t>
        </is>
      </c>
      <c r="E32" s="18" t="inlineStr">
        <is>
          <t>Biologics</t>
        </is>
      </c>
      <c r="F32" s="12" t="n">
        <v>46188</v>
      </c>
      <c r="G32" s="13" t="n">
        <v>9200</v>
      </c>
      <c r="H32" s="13" t="n">
        <v>5800</v>
      </c>
      <c r="I32" s="20" t="inlineStr">
        <is>
          <t>N</t>
        </is>
      </c>
      <c r="J32" s="20" t="inlineStr">
        <is>
          <t>N</t>
        </is>
      </c>
    </row>
    <row r="33">
      <c r="A33" s="20" t="inlineStr">
        <is>
          <t>KR-1028</t>
        </is>
      </c>
      <c r="B33" s="12" t="n">
        <v>46176</v>
      </c>
      <c r="C33" s="18" t="inlineStr">
        <is>
          <t>D. Marchetti</t>
        </is>
      </c>
      <c r="D33" s="18" t="inlineStr">
        <is>
          <t>Meridian Valley Health System</t>
        </is>
      </c>
      <c r="E33" s="18" t="inlineStr">
        <is>
          <t>Spine</t>
        </is>
      </c>
      <c r="F33" s="12" t="n">
        <v>46216</v>
      </c>
      <c r="G33" s="13" t="n">
        <v>59700</v>
      </c>
      <c r="H33" s="13" t="n">
        <v>37300</v>
      </c>
      <c r="I33" s="20" t="inlineStr">
        <is>
          <t>N</t>
        </is>
      </c>
      <c r="J33" s="20" t="inlineStr">
        <is>
          <t>N</t>
        </is>
      </c>
    </row>
    <row r="34">
      <c r="A34" s="20" t="inlineStr">
        <is>
          <t>KR-1029</t>
        </is>
      </c>
      <c r="B34" s="12" t="n">
        <v>46182</v>
      </c>
      <c r="C34" s="18" t="inlineStr">
        <is>
          <t>R. Okafor</t>
        </is>
      </c>
      <c r="D34" s="18" t="inlineStr">
        <is>
          <t>Alderwood Regional Medical Center</t>
        </is>
      </c>
      <c r="E34" s="18" t="inlineStr">
        <is>
          <t>Spine</t>
        </is>
      </c>
      <c r="F34" s="12" t="n">
        <v>46190</v>
      </c>
      <c r="G34" s="13" t="n">
        <v>43500</v>
      </c>
      <c r="H34" s="13" t="n">
        <v>27200</v>
      </c>
      <c r="I34" s="20" t="inlineStr">
        <is>
          <t>N</t>
        </is>
      </c>
      <c r="J34" s="20" t="inlineStr">
        <is>
          <t>N</t>
        </is>
      </c>
    </row>
    <row r="35">
      <c r="A35" s="20" t="inlineStr">
        <is>
          <t>KR-1030</t>
        </is>
      </c>
      <c r="B35" s="12" t="n">
        <v>46195</v>
      </c>
      <c r="C35" s="18" t="inlineStr">
        <is>
          <t>T. Lindqvist</t>
        </is>
      </c>
      <c r="D35" s="18" t="inlineStr">
        <is>
          <t>Kingsbridge Orthopedic Institute</t>
        </is>
      </c>
      <c r="E35" s="18" t="inlineStr">
        <is>
          <t>Extremities</t>
        </is>
      </c>
      <c r="F35" s="12" t="n">
        <v>46209</v>
      </c>
      <c r="G35" s="13" t="n">
        <v>22800</v>
      </c>
      <c r="H35" s="13" t="n">
        <v>14200</v>
      </c>
      <c r="I35" s="20" t="inlineStr">
        <is>
          <t>N</t>
        </is>
      </c>
      <c r="J35" s="20" t="inlineStr">
        <is>
          <t>N</t>
        </is>
      </c>
    </row>
    <row r="37">
      <c r="A37" s="21" t="inlineStr">
        <is>
          <t>Total — 30 cases</t>
        </is>
      </c>
      <c r="G37" s="22">
        <f>SUM(G6:G35)</f>
        <v/>
      </c>
      <c r="H37" s="22">
        <f>SUM(H6:H35)</f>
        <v/>
      </c>
    </row>
    <row r="39">
      <c r="A39" s="11" t="inlineStr">
        <is>
          <t>An invoice date later than the case date is normal. It is also the whole problem: the case is earned on the left, the money moves on the right.</t>
        </is>
      </c>
    </row>
    <row r="41">
      <c r="A41" s="5" t="n"/>
      <c r="B41" s="5" t="n"/>
      <c r="C41" s="5" t="n"/>
      <c r="D41" s="5" t="n"/>
      <c r="E41" s="5" t="n"/>
      <c r="F41" s="5" t="n"/>
      <c r="G41" s="5" t="n"/>
      <c r="H41" s="5" t="n"/>
      <c r="I41" s="5" t="n"/>
      <c r="J41" s="5" t="n"/>
    </row>
    <row r="42">
      <c r="A42" s="6" t="inlineStr">
        <is>
          <t>Spreadsheet Studio template v1.0  ·  built for this client, formulas live</t>
        </is>
      </c>
    </row>
  </sheetData>
  <dataValidations count="2">
    <dataValidation sqref="I6:J35" showDropDown="0" showInputMessage="0" showErrorMessage="0" allowBlank="1" type="list">
      <formula1>"Y,N"</formula1>
    </dataValidation>
    <dataValidation sqref="E6:E35" showDropDown="0" showInputMessage="0" showErrorMessage="0" allowBlank="1" type="list">
      <formula1>"Spine,Extremities,Biologics"</formula1>
    </dataValidation>
  </dataValidations>
  <pageMargins left="0.75" right="0.75" top="1" bottom="1" header="0.5" footer="0.5"/>
  <pageSetup orientation="landscape" fitToWidth="1"/>
</worksheet>
</file>

<file path=xl/worksheets/sheet4.xml><?xml version="1.0" encoding="utf-8"?>
<worksheet xmlns="http://schemas.openxmlformats.org/spreadsheetml/2006/main">
  <sheetPr>
    <tabColor rgb="001F6F4A"/>
    <outlinePr summaryBelow="1" summaryRight="1"/>
    <pageSetUpPr fitToPage="1"/>
  </sheetPr>
  <dimension ref="A2:O42"/>
  <sheetViews>
    <sheetView showGridLines="0" zoomScale="115" workbookViewId="0">
      <pane xSplit="2" ySplit="5" topLeftCell="C6" activePane="bottomRight" state="frozen"/>
      <selection pane="topRight"/>
      <selection pane="bottomLeft"/>
      <selection pane="bottomRight" activeCell="A1" sqref="A1"/>
    </sheetView>
  </sheetViews>
  <sheetFormatPr baseColWidth="8" defaultRowHeight="15"/>
  <cols>
    <col width="10" customWidth="1" min="1" max="1"/>
    <col width="11" customWidth="1" min="2" max="2"/>
    <col width="14" customWidth="1" min="3" max="3"/>
    <col width="12" customWidth="1" min="4" max="4"/>
    <col width="13" customWidth="1" min="5" max="5"/>
    <col width="10" customWidth="1" min="6" max="6"/>
    <col width="13" customWidth="1" min="7" max="7"/>
    <col width="11" customWidth="1" min="8" max="8"/>
    <col width="8" customWidth="1" min="9" max="9"/>
    <col width="12" customWidth="1" min="10" max="10"/>
    <col width="11" customWidth="1" min="11" max="11"/>
    <col width="13" customWidth="1" min="12" max="12"/>
    <col width="10" customWidth="1" min="13" max="13"/>
    <col width="10" customWidth="1" min="14" max="14"/>
    <col width="9" customWidth="1" min="15" max="15"/>
  </cols>
  <sheetData>
    <row r="2">
      <c r="A2" s="1">
        <f>Client_Name&amp;" — commission earned, case by case"</f>
        <v/>
      </c>
    </row>
    <row r="3">
      <c r="A3" s="2" t="inlineStr">
        <is>
          <t>Commission is EARNED on the case date. The invoice date only decides when it is PAID. Nothing on this sheet is typed.</t>
        </is>
      </c>
    </row>
    <row r="5">
      <c r="A5" s="17" t="inlineStr">
        <is>
          <t>Case ID</t>
        </is>
      </c>
      <c r="B5" s="17" t="inlineStr">
        <is>
          <t>Case date</t>
        </is>
      </c>
      <c r="C5" s="17" t="inlineStr">
        <is>
          <t>Rep</t>
        </is>
      </c>
      <c r="D5" s="17" t="inlineStr">
        <is>
          <t>Product line</t>
        </is>
      </c>
      <c r="E5" s="17" t="inlineStr">
        <is>
          <t>Net revenue</t>
        </is>
      </c>
      <c r="F5" s="17" t="inlineStr">
        <is>
          <t>Comm rate</t>
        </is>
      </c>
      <c r="G5" s="17" t="inlineStr">
        <is>
          <t>Rep rev YTD</t>
        </is>
      </c>
      <c r="H5" s="17" t="inlineStr">
        <is>
          <t>Accelerator</t>
        </is>
      </c>
      <c r="I5" s="17" t="inlineStr">
        <is>
          <t>Split</t>
        </is>
      </c>
      <c r="J5" s="17" t="inlineStr">
        <is>
          <t>Gross comm</t>
        </is>
      </c>
      <c r="K5" s="17" t="inlineStr">
        <is>
          <t>Clawback</t>
        </is>
      </c>
      <c r="L5" s="17" t="inlineStr">
        <is>
          <t>Earned comm</t>
        </is>
      </c>
      <c r="M5" s="17" t="inlineStr">
        <is>
          <t>Earned mo</t>
        </is>
      </c>
      <c r="N5" s="17" t="inlineStr">
        <is>
          <t>Invoice mo</t>
        </is>
      </c>
      <c r="O5" s="17" t="inlineStr">
        <is>
          <t>Pay mo</t>
        </is>
      </c>
    </row>
    <row r="6">
      <c r="A6" s="23">
        <f>Cases!A6</f>
        <v/>
      </c>
      <c r="B6" s="24">
        <f>Cases!B6</f>
        <v/>
      </c>
      <c r="C6" s="25">
        <f>Cases!C6</f>
        <v/>
      </c>
      <c r="D6" s="25">
        <f>Cases!E6</f>
        <v/>
      </c>
      <c r="E6" s="26">
        <f>Cases!G6</f>
        <v/>
      </c>
      <c r="F6" s="27">
        <f>IFERROR(INDEX(Line_Rates,MATCH(D6,Line_Names,0)),0)</f>
        <v/>
      </c>
      <c r="G6" s="26">
        <f>SUMIFS(Cases!$G$6:$G$35,Cases!$C$6:$C$35,C6,Cases!$B$6:$B$35,"&lt;="&amp;B6)</f>
        <v/>
      </c>
      <c r="H6" s="28">
        <f>IF(G6&gt;Accel_Threshold,Accel_Mult,1)</f>
        <v/>
      </c>
      <c r="I6" s="29">
        <f>IF(Cases!I6="Y",Split_Pct,1)</f>
        <v/>
      </c>
      <c r="J6" s="26">
        <f>E6*F6*H6*I6</f>
        <v/>
      </c>
      <c r="K6" s="26">
        <f>IF(Cases!J6="Y",-J6*Clawback_Pct,0)</f>
        <v/>
      </c>
      <c r="L6" s="30">
        <f>J6+K6</f>
        <v/>
      </c>
      <c r="M6" s="31">
        <f>YEAR(B6)*12+MONTH(B6)</f>
        <v/>
      </c>
      <c r="N6" s="31">
        <f>YEAR(Cases!F6)*12+MONTH(Cases!F6)</f>
        <v/>
      </c>
      <c r="O6" s="31">
        <f>N6+Comm_Pay_Lag</f>
        <v/>
      </c>
    </row>
    <row r="7">
      <c r="A7" s="23">
        <f>Cases!A7</f>
        <v/>
      </c>
      <c r="B7" s="24">
        <f>Cases!B7</f>
        <v/>
      </c>
      <c r="C7" s="25">
        <f>Cases!C7</f>
        <v/>
      </c>
      <c r="D7" s="25">
        <f>Cases!E7</f>
        <v/>
      </c>
      <c r="E7" s="26">
        <f>Cases!G7</f>
        <v/>
      </c>
      <c r="F7" s="27">
        <f>IFERROR(INDEX(Line_Rates,MATCH(D7,Line_Names,0)),0)</f>
        <v/>
      </c>
      <c r="G7" s="26">
        <f>SUMIFS(Cases!$G$6:$G$35,Cases!$C$6:$C$35,C7,Cases!$B$6:$B$35,"&lt;="&amp;B7)</f>
        <v/>
      </c>
      <c r="H7" s="28">
        <f>IF(G7&gt;Accel_Threshold,Accel_Mult,1)</f>
        <v/>
      </c>
      <c r="I7" s="29">
        <f>IF(Cases!I7="Y",Split_Pct,1)</f>
        <v/>
      </c>
      <c r="J7" s="26">
        <f>E7*F7*H7*I7</f>
        <v/>
      </c>
      <c r="K7" s="26">
        <f>IF(Cases!J7="Y",-J7*Clawback_Pct,0)</f>
        <v/>
      </c>
      <c r="L7" s="30">
        <f>J7+K7</f>
        <v/>
      </c>
      <c r="M7" s="31">
        <f>YEAR(B7)*12+MONTH(B7)</f>
        <v/>
      </c>
      <c r="N7" s="31">
        <f>YEAR(Cases!F7)*12+MONTH(Cases!F7)</f>
        <v/>
      </c>
      <c r="O7" s="31">
        <f>N7+Comm_Pay_Lag</f>
        <v/>
      </c>
    </row>
    <row r="8">
      <c r="A8" s="23">
        <f>Cases!A8</f>
        <v/>
      </c>
      <c r="B8" s="24">
        <f>Cases!B8</f>
        <v/>
      </c>
      <c r="C8" s="25">
        <f>Cases!C8</f>
        <v/>
      </c>
      <c r="D8" s="25">
        <f>Cases!E8</f>
        <v/>
      </c>
      <c r="E8" s="26">
        <f>Cases!G8</f>
        <v/>
      </c>
      <c r="F8" s="27">
        <f>IFERROR(INDEX(Line_Rates,MATCH(D8,Line_Names,0)),0)</f>
        <v/>
      </c>
      <c r="G8" s="26">
        <f>SUMIFS(Cases!$G$6:$G$35,Cases!$C$6:$C$35,C8,Cases!$B$6:$B$35,"&lt;="&amp;B8)</f>
        <v/>
      </c>
      <c r="H8" s="28">
        <f>IF(G8&gt;Accel_Threshold,Accel_Mult,1)</f>
        <v/>
      </c>
      <c r="I8" s="29">
        <f>IF(Cases!I8="Y",Split_Pct,1)</f>
        <v/>
      </c>
      <c r="J8" s="26">
        <f>E8*F8*H8*I8</f>
        <v/>
      </c>
      <c r="K8" s="26">
        <f>IF(Cases!J8="Y",-J8*Clawback_Pct,0)</f>
        <v/>
      </c>
      <c r="L8" s="30">
        <f>J8+K8</f>
        <v/>
      </c>
      <c r="M8" s="31">
        <f>YEAR(B8)*12+MONTH(B8)</f>
        <v/>
      </c>
      <c r="N8" s="31">
        <f>YEAR(Cases!F8)*12+MONTH(Cases!F8)</f>
        <v/>
      </c>
      <c r="O8" s="31">
        <f>N8+Comm_Pay_Lag</f>
        <v/>
      </c>
    </row>
    <row r="9">
      <c r="A9" s="23">
        <f>Cases!A9</f>
        <v/>
      </c>
      <c r="B9" s="24">
        <f>Cases!B9</f>
        <v/>
      </c>
      <c r="C9" s="25">
        <f>Cases!C9</f>
        <v/>
      </c>
      <c r="D9" s="25">
        <f>Cases!E9</f>
        <v/>
      </c>
      <c r="E9" s="26">
        <f>Cases!G9</f>
        <v/>
      </c>
      <c r="F9" s="27">
        <f>IFERROR(INDEX(Line_Rates,MATCH(D9,Line_Names,0)),0)</f>
        <v/>
      </c>
      <c r="G9" s="26">
        <f>SUMIFS(Cases!$G$6:$G$35,Cases!$C$6:$C$35,C9,Cases!$B$6:$B$35,"&lt;="&amp;B9)</f>
        <v/>
      </c>
      <c r="H9" s="28">
        <f>IF(G9&gt;Accel_Threshold,Accel_Mult,1)</f>
        <v/>
      </c>
      <c r="I9" s="29">
        <f>IF(Cases!I9="Y",Split_Pct,1)</f>
        <v/>
      </c>
      <c r="J9" s="26">
        <f>E9*F9*H9*I9</f>
        <v/>
      </c>
      <c r="K9" s="26">
        <f>IF(Cases!J9="Y",-J9*Clawback_Pct,0)</f>
        <v/>
      </c>
      <c r="L9" s="30">
        <f>J9+K9</f>
        <v/>
      </c>
      <c r="M9" s="31">
        <f>YEAR(B9)*12+MONTH(B9)</f>
        <v/>
      </c>
      <c r="N9" s="31">
        <f>YEAR(Cases!F9)*12+MONTH(Cases!F9)</f>
        <v/>
      </c>
      <c r="O9" s="31">
        <f>N9+Comm_Pay_Lag</f>
        <v/>
      </c>
    </row>
    <row r="10">
      <c r="A10" s="23">
        <f>Cases!A10</f>
        <v/>
      </c>
      <c r="B10" s="24">
        <f>Cases!B10</f>
        <v/>
      </c>
      <c r="C10" s="25">
        <f>Cases!C10</f>
        <v/>
      </c>
      <c r="D10" s="25">
        <f>Cases!E10</f>
        <v/>
      </c>
      <c r="E10" s="26">
        <f>Cases!G10</f>
        <v/>
      </c>
      <c r="F10" s="27">
        <f>IFERROR(INDEX(Line_Rates,MATCH(D10,Line_Names,0)),0)</f>
        <v/>
      </c>
      <c r="G10" s="26">
        <f>SUMIFS(Cases!$G$6:$G$35,Cases!$C$6:$C$35,C10,Cases!$B$6:$B$35,"&lt;="&amp;B10)</f>
        <v/>
      </c>
      <c r="H10" s="28">
        <f>IF(G10&gt;Accel_Threshold,Accel_Mult,1)</f>
        <v/>
      </c>
      <c r="I10" s="29">
        <f>IF(Cases!I10="Y",Split_Pct,1)</f>
        <v/>
      </c>
      <c r="J10" s="26">
        <f>E10*F10*H10*I10</f>
        <v/>
      </c>
      <c r="K10" s="26">
        <f>IF(Cases!J10="Y",-J10*Clawback_Pct,0)</f>
        <v/>
      </c>
      <c r="L10" s="30">
        <f>J10+K10</f>
        <v/>
      </c>
      <c r="M10" s="31">
        <f>YEAR(B10)*12+MONTH(B10)</f>
        <v/>
      </c>
      <c r="N10" s="31">
        <f>YEAR(Cases!F10)*12+MONTH(Cases!F10)</f>
        <v/>
      </c>
      <c r="O10" s="31">
        <f>N10+Comm_Pay_Lag</f>
        <v/>
      </c>
    </row>
    <row r="11">
      <c r="A11" s="23">
        <f>Cases!A11</f>
        <v/>
      </c>
      <c r="B11" s="24">
        <f>Cases!B11</f>
        <v/>
      </c>
      <c r="C11" s="25">
        <f>Cases!C11</f>
        <v/>
      </c>
      <c r="D11" s="25">
        <f>Cases!E11</f>
        <v/>
      </c>
      <c r="E11" s="26">
        <f>Cases!G11</f>
        <v/>
      </c>
      <c r="F11" s="27">
        <f>IFERROR(INDEX(Line_Rates,MATCH(D11,Line_Names,0)),0)</f>
        <v/>
      </c>
      <c r="G11" s="26">
        <f>SUMIFS(Cases!$G$6:$G$35,Cases!$C$6:$C$35,C11,Cases!$B$6:$B$35,"&lt;="&amp;B11)</f>
        <v/>
      </c>
      <c r="H11" s="28">
        <f>IF(G11&gt;Accel_Threshold,Accel_Mult,1)</f>
        <v/>
      </c>
      <c r="I11" s="29">
        <f>IF(Cases!I11="Y",Split_Pct,1)</f>
        <v/>
      </c>
      <c r="J11" s="26">
        <f>E11*F11*H11*I11</f>
        <v/>
      </c>
      <c r="K11" s="26">
        <f>IF(Cases!J11="Y",-J11*Clawback_Pct,0)</f>
        <v/>
      </c>
      <c r="L11" s="30">
        <f>J11+K11</f>
        <v/>
      </c>
      <c r="M11" s="31">
        <f>YEAR(B11)*12+MONTH(B11)</f>
        <v/>
      </c>
      <c r="N11" s="31">
        <f>YEAR(Cases!F11)*12+MONTH(Cases!F11)</f>
        <v/>
      </c>
      <c r="O11" s="31">
        <f>N11+Comm_Pay_Lag</f>
        <v/>
      </c>
    </row>
    <row r="12">
      <c r="A12" s="23">
        <f>Cases!A12</f>
        <v/>
      </c>
      <c r="B12" s="24">
        <f>Cases!B12</f>
        <v/>
      </c>
      <c r="C12" s="25">
        <f>Cases!C12</f>
        <v/>
      </c>
      <c r="D12" s="25">
        <f>Cases!E12</f>
        <v/>
      </c>
      <c r="E12" s="26">
        <f>Cases!G12</f>
        <v/>
      </c>
      <c r="F12" s="27">
        <f>IFERROR(INDEX(Line_Rates,MATCH(D12,Line_Names,0)),0)</f>
        <v/>
      </c>
      <c r="G12" s="26">
        <f>SUMIFS(Cases!$G$6:$G$35,Cases!$C$6:$C$35,C12,Cases!$B$6:$B$35,"&lt;="&amp;B12)</f>
        <v/>
      </c>
      <c r="H12" s="28">
        <f>IF(G12&gt;Accel_Threshold,Accel_Mult,1)</f>
        <v/>
      </c>
      <c r="I12" s="29">
        <f>IF(Cases!I12="Y",Split_Pct,1)</f>
        <v/>
      </c>
      <c r="J12" s="26">
        <f>E12*F12*H12*I12</f>
        <v/>
      </c>
      <c r="K12" s="26">
        <f>IF(Cases!J12="Y",-J12*Clawback_Pct,0)</f>
        <v/>
      </c>
      <c r="L12" s="30">
        <f>J12+K12</f>
        <v/>
      </c>
      <c r="M12" s="31">
        <f>YEAR(B12)*12+MONTH(B12)</f>
        <v/>
      </c>
      <c r="N12" s="31">
        <f>YEAR(Cases!F12)*12+MONTH(Cases!F12)</f>
        <v/>
      </c>
      <c r="O12" s="31">
        <f>N12+Comm_Pay_Lag</f>
        <v/>
      </c>
    </row>
    <row r="13">
      <c r="A13" s="23">
        <f>Cases!A13</f>
        <v/>
      </c>
      <c r="B13" s="24">
        <f>Cases!B13</f>
        <v/>
      </c>
      <c r="C13" s="25">
        <f>Cases!C13</f>
        <v/>
      </c>
      <c r="D13" s="25">
        <f>Cases!E13</f>
        <v/>
      </c>
      <c r="E13" s="26">
        <f>Cases!G13</f>
        <v/>
      </c>
      <c r="F13" s="27">
        <f>IFERROR(INDEX(Line_Rates,MATCH(D13,Line_Names,0)),0)</f>
        <v/>
      </c>
      <c r="G13" s="26">
        <f>SUMIFS(Cases!$G$6:$G$35,Cases!$C$6:$C$35,C13,Cases!$B$6:$B$35,"&lt;="&amp;B13)</f>
        <v/>
      </c>
      <c r="H13" s="28">
        <f>IF(G13&gt;Accel_Threshold,Accel_Mult,1)</f>
        <v/>
      </c>
      <c r="I13" s="29">
        <f>IF(Cases!I13="Y",Split_Pct,1)</f>
        <v/>
      </c>
      <c r="J13" s="26">
        <f>E13*F13*H13*I13</f>
        <v/>
      </c>
      <c r="K13" s="26">
        <f>IF(Cases!J13="Y",-J13*Clawback_Pct,0)</f>
        <v/>
      </c>
      <c r="L13" s="30">
        <f>J13+K13</f>
        <v/>
      </c>
      <c r="M13" s="31">
        <f>YEAR(B13)*12+MONTH(B13)</f>
        <v/>
      </c>
      <c r="N13" s="31">
        <f>YEAR(Cases!F13)*12+MONTH(Cases!F13)</f>
        <v/>
      </c>
      <c r="O13" s="31">
        <f>N13+Comm_Pay_Lag</f>
        <v/>
      </c>
    </row>
    <row r="14">
      <c r="A14" s="23">
        <f>Cases!A14</f>
        <v/>
      </c>
      <c r="B14" s="24">
        <f>Cases!B14</f>
        <v/>
      </c>
      <c r="C14" s="25">
        <f>Cases!C14</f>
        <v/>
      </c>
      <c r="D14" s="25">
        <f>Cases!E14</f>
        <v/>
      </c>
      <c r="E14" s="26">
        <f>Cases!G14</f>
        <v/>
      </c>
      <c r="F14" s="27">
        <f>IFERROR(INDEX(Line_Rates,MATCH(D14,Line_Names,0)),0)</f>
        <v/>
      </c>
      <c r="G14" s="26">
        <f>SUMIFS(Cases!$G$6:$G$35,Cases!$C$6:$C$35,C14,Cases!$B$6:$B$35,"&lt;="&amp;B14)</f>
        <v/>
      </c>
      <c r="H14" s="28">
        <f>IF(G14&gt;Accel_Threshold,Accel_Mult,1)</f>
        <v/>
      </c>
      <c r="I14" s="29">
        <f>IF(Cases!I14="Y",Split_Pct,1)</f>
        <v/>
      </c>
      <c r="J14" s="26">
        <f>E14*F14*H14*I14</f>
        <v/>
      </c>
      <c r="K14" s="26">
        <f>IF(Cases!J14="Y",-J14*Clawback_Pct,0)</f>
        <v/>
      </c>
      <c r="L14" s="30">
        <f>J14+K14</f>
        <v/>
      </c>
      <c r="M14" s="31">
        <f>YEAR(B14)*12+MONTH(B14)</f>
        <v/>
      </c>
      <c r="N14" s="31">
        <f>YEAR(Cases!F14)*12+MONTH(Cases!F14)</f>
        <v/>
      </c>
      <c r="O14" s="31">
        <f>N14+Comm_Pay_Lag</f>
        <v/>
      </c>
    </row>
    <row r="15">
      <c r="A15" s="23">
        <f>Cases!A15</f>
        <v/>
      </c>
      <c r="B15" s="24">
        <f>Cases!B15</f>
        <v/>
      </c>
      <c r="C15" s="25">
        <f>Cases!C15</f>
        <v/>
      </c>
      <c r="D15" s="25">
        <f>Cases!E15</f>
        <v/>
      </c>
      <c r="E15" s="26">
        <f>Cases!G15</f>
        <v/>
      </c>
      <c r="F15" s="27">
        <f>IFERROR(INDEX(Line_Rates,MATCH(D15,Line_Names,0)),0)</f>
        <v/>
      </c>
      <c r="G15" s="26">
        <f>SUMIFS(Cases!$G$6:$G$35,Cases!$C$6:$C$35,C15,Cases!$B$6:$B$35,"&lt;="&amp;B15)</f>
        <v/>
      </c>
      <c r="H15" s="28">
        <f>IF(G15&gt;Accel_Threshold,Accel_Mult,1)</f>
        <v/>
      </c>
      <c r="I15" s="29">
        <f>IF(Cases!I15="Y",Split_Pct,1)</f>
        <v/>
      </c>
      <c r="J15" s="26">
        <f>E15*F15*H15*I15</f>
        <v/>
      </c>
      <c r="K15" s="26">
        <f>IF(Cases!J15="Y",-J15*Clawback_Pct,0)</f>
        <v/>
      </c>
      <c r="L15" s="30">
        <f>J15+K15</f>
        <v/>
      </c>
      <c r="M15" s="31">
        <f>YEAR(B15)*12+MONTH(B15)</f>
        <v/>
      </c>
      <c r="N15" s="31">
        <f>YEAR(Cases!F15)*12+MONTH(Cases!F15)</f>
        <v/>
      </c>
      <c r="O15" s="31">
        <f>N15+Comm_Pay_Lag</f>
        <v/>
      </c>
    </row>
    <row r="16">
      <c r="A16" s="23">
        <f>Cases!A16</f>
        <v/>
      </c>
      <c r="B16" s="24">
        <f>Cases!B16</f>
        <v/>
      </c>
      <c r="C16" s="25">
        <f>Cases!C16</f>
        <v/>
      </c>
      <c r="D16" s="25">
        <f>Cases!E16</f>
        <v/>
      </c>
      <c r="E16" s="26">
        <f>Cases!G16</f>
        <v/>
      </c>
      <c r="F16" s="27">
        <f>IFERROR(INDEX(Line_Rates,MATCH(D16,Line_Names,0)),0)</f>
        <v/>
      </c>
      <c r="G16" s="26">
        <f>SUMIFS(Cases!$G$6:$G$35,Cases!$C$6:$C$35,C16,Cases!$B$6:$B$35,"&lt;="&amp;B16)</f>
        <v/>
      </c>
      <c r="H16" s="28">
        <f>IF(G16&gt;Accel_Threshold,Accel_Mult,1)</f>
        <v/>
      </c>
      <c r="I16" s="29">
        <f>IF(Cases!I16="Y",Split_Pct,1)</f>
        <v/>
      </c>
      <c r="J16" s="26">
        <f>E16*F16*H16*I16</f>
        <v/>
      </c>
      <c r="K16" s="26">
        <f>IF(Cases!J16="Y",-J16*Clawback_Pct,0)</f>
        <v/>
      </c>
      <c r="L16" s="30">
        <f>J16+K16</f>
        <v/>
      </c>
      <c r="M16" s="31">
        <f>YEAR(B16)*12+MONTH(B16)</f>
        <v/>
      </c>
      <c r="N16" s="31">
        <f>YEAR(Cases!F16)*12+MONTH(Cases!F16)</f>
        <v/>
      </c>
      <c r="O16" s="31">
        <f>N16+Comm_Pay_Lag</f>
        <v/>
      </c>
    </row>
    <row r="17">
      <c r="A17" s="23">
        <f>Cases!A17</f>
        <v/>
      </c>
      <c r="B17" s="24">
        <f>Cases!B17</f>
        <v/>
      </c>
      <c r="C17" s="25">
        <f>Cases!C17</f>
        <v/>
      </c>
      <c r="D17" s="25">
        <f>Cases!E17</f>
        <v/>
      </c>
      <c r="E17" s="26">
        <f>Cases!G17</f>
        <v/>
      </c>
      <c r="F17" s="27">
        <f>IFERROR(INDEX(Line_Rates,MATCH(D17,Line_Names,0)),0)</f>
        <v/>
      </c>
      <c r="G17" s="26">
        <f>SUMIFS(Cases!$G$6:$G$35,Cases!$C$6:$C$35,C17,Cases!$B$6:$B$35,"&lt;="&amp;B17)</f>
        <v/>
      </c>
      <c r="H17" s="28">
        <f>IF(G17&gt;Accel_Threshold,Accel_Mult,1)</f>
        <v/>
      </c>
      <c r="I17" s="29">
        <f>IF(Cases!I17="Y",Split_Pct,1)</f>
        <v/>
      </c>
      <c r="J17" s="26">
        <f>E17*F17*H17*I17</f>
        <v/>
      </c>
      <c r="K17" s="26">
        <f>IF(Cases!J17="Y",-J17*Clawback_Pct,0)</f>
        <v/>
      </c>
      <c r="L17" s="30">
        <f>J17+K17</f>
        <v/>
      </c>
      <c r="M17" s="31">
        <f>YEAR(B17)*12+MONTH(B17)</f>
        <v/>
      </c>
      <c r="N17" s="31">
        <f>YEAR(Cases!F17)*12+MONTH(Cases!F17)</f>
        <v/>
      </c>
      <c r="O17" s="31">
        <f>N17+Comm_Pay_Lag</f>
        <v/>
      </c>
    </row>
    <row r="18">
      <c r="A18" s="23">
        <f>Cases!A18</f>
        <v/>
      </c>
      <c r="B18" s="24">
        <f>Cases!B18</f>
        <v/>
      </c>
      <c r="C18" s="25">
        <f>Cases!C18</f>
        <v/>
      </c>
      <c r="D18" s="25">
        <f>Cases!E18</f>
        <v/>
      </c>
      <c r="E18" s="26">
        <f>Cases!G18</f>
        <v/>
      </c>
      <c r="F18" s="27">
        <f>IFERROR(INDEX(Line_Rates,MATCH(D18,Line_Names,0)),0)</f>
        <v/>
      </c>
      <c r="G18" s="26">
        <f>SUMIFS(Cases!$G$6:$G$35,Cases!$C$6:$C$35,C18,Cases!$B$6:$B$35,"&lt;="&amp;B18)</f>
        <v/>
      </c>
      <c r="H18" s="28">
        <f>IF(G18&gt;Accel_Threshold,Accel_Mult,1)</f>
        <v/>
      </c>
      <c r="I18" s="29">
        <f>IF(Cases!I18="Y",Split_Pct,1)</f>
        <v/>
      </c>
      <c r="J18" s="26">
        <f>E18*F18*H18*I18</f>
        <v/>
      </c>
      <c r="K18" s="26">
        <f>IF(Cases!J18="Y",-J18*Clawback_Pct,0)</f>
        <v/>
      </c>
      <c r="L18" s="30">
        <f>J18+K18</f>
        <v/>
      </c>
      <c r="M18" s="31">
        <f>YEAR(B18)*12+MONTH(B18)</f>
        <v/>
      </c>
      <c r="N18" s="31">
        <f>YEAR(Cases!F18)*12+MONTH(Cases!F18)</f>
        <v/>
      </c>
      <c r="O18" s="31">
        <f>N18+Comm_Pay_Lag</f>
        <v/>
      </c>
    </row>
    <row r="19">
      <c r="A19" s="23">
        <f>Cases!A19</f>
        <v/>
      </c>
      <c r="B19" s="24">
        <f>Cases!B19</f>
        <v/>
      </c>
      <c r="C19" s="25">
        <f>Cases!C19</f>
        <v/>
      </c>
      <c r="D19" s="25">
        <f>Cases!E19</f>
        <v/>
      </c>
      <c r="E19" s="26">
        <f>Cases!G19</f>
        <v/>
      </c>
      <c r="F19" s="27">
        <f>IFERROR(INDEX(Line_Rates,MATCH(D19,Line_Names,0)),0)</f>
        <v/>
      </c>
      <c r="G19" s="26">
        <f>SUMIFS(Cases!$G$6:$G$35,Cases!$C$6:$C$35,C19,Cases!$B$6:$B$35,"&lt;="&amp;B19)</f>
        <v/>
      </c>
      <c r="H19" s="28">
        <f>IF(G19&gt;Accel_Threshold,Accel_Mult,1)</f>
        <v/>
      </c>
      <c r="I19" s="29">
        <f>IF(Cases!I19="Y",Split_Pct,1)</f>
        <v/>
      </c>
      <c r="J19" s="26">
        <f>E19*F19*H19*I19</f>
        <v/>
      </c>
      <c r="K19" s="26">
        <f>IF(Cases!J19="Y",-J19*Clawback_Pct,0)</f>
        <v/>
      </c>
      <c r="L19" s="30">
        <f>J19+K19</f>
        <v/>
      </c>
      <c r="M19" s="31">
        <f>YEAR(B19)*12+MONTH(B19)</f>
        <v/>
      </c>
      <c r="N19" s="31">
        <f>YEAR(Cases!F19)*12+MONTH(Cases!F19)</f>
        <v/>
      </c>
      <c r="O19" s="31">
        <f>N19+Comm_Pay_Lag</f>
        <v/>
      </c>
    </row>
    <row r="20">
      <c r="A20" s="23">
        <f>Cases!A20</f>
        <v/>
      </c>
      <c r="B20" s="24">
        <f>Cases!B20</f>
        <v/>
      </c>
      <c r="C20" s="25">
        <f>Cases!C20</f>
        <v/>
      </c>
      <c r="D20" s="25">
        <f>Cases!E20</f>
        <v/>
      </c>
      <c r="E20" s="26">
        <f>Cases!G20</f>
        <v/>
      </c>
      <c r="F20" s="27">
        <f>IFERROR(INDEX(Line_Rates,MATCH(D20,Line_Names,0)),0)</f>
        <v/>
      </c>
      <c r="G20" s="26">
        <f>SUMIFS(Cases!$G$6:$G$35,Cases!$C$6:$C$35,C20,Cases!$B$6:$B$35,"&lt;="&amp;B20)</f>
        <v/>
      </c>
      <c r="H20" s="28">
        <f>IF(G20&gt;Accel_Threshold,Accel_Mult,1)</f>
        <v/>
      </c>
      <c r="I20" s="29">
        <f>IF(Cases!I20="Y",Split_Pct,1)</f>
        <v/>
      </c>
      <c r="J20" s="26">
        <f>E20*F20*H20*I20</f>
        <v/>
      </c>
      <c r="K20" s="26">
        <f>IF(Cases!J20="Y",-J20*Clawback_Pct,0)</f>
        <v/>
      </c>
      <c r="L20" s="30">
        <f>J20+K20</f>
        <v/>
      </c>
      <c r="M20" s="31">
        <f>YEAR(B20)*12+MONTH(B20)</f>
        <v/>
      </c>
      <c r="N20" s="31">
        <f>YEAR(Cases!F20)*12+MONTH(Cases!F20)</f>
        <v/>
      </c>
      <c r="O20" s="31">
        <f>N20+Comm_Pay_Lag</f>
        <v/>
      </c>
    </row>
    <row r="21">
      <c r="A21" s="23">
        <f>Cases!A21</f>
        <v/>
      </c>
      <c r="B21" s="24">
        <f>Cases!B21</f>
        <v/>
      </c>
      <c r="C21" s="25">
        <f>Cases!C21</f>
        <v/>
      </c>
      <c r="D21" s="25">
        <f>Cases!E21</f>
        <v/>
      </c>
      <c r="E21" s="26">
        <f>Cases!G21</f>
        <v/>
      </c>
      <c r="F21" s="27">
        <f>IFERROR(INDEX(Line_Rates,MATCH(D21,Line_Names,0)),0)</f>
        <v/>
      </c>
      <c r="G21" s="26">
        <f>SUMIFS(Cases!$G$6:$G$35,Cases!$C$6:$C$35,C21,Cases!$B$6:$B$35,"&lt;="&amp;B21)</f>
        <v/>
      </c>
      <c r="H21" s="28">
        <f>IF(G21&gt;Accel_Threshold,Accel_Mult,1)</f>
        <v/>
      </c>
      <c r="I21" s="29">
        <f>IF(Cases!I21="Y",Split_Pct,1)</f>
        <v/>
      </c>
      <c r="J21" s="26">
        <f>E21*F21*H21*I21</f>
        <v/>
      </c>
      <c r="K21" s="26">
        <f>IF(Cases!J21="Y",-J21*Clawback_Pct,0)</f>
        <v/>
      </c>
      <c r="L21" s="30">
        <f>J21+K21</f>
        <v/>
      </c>
      <c r="M21" s="31">
        <f>YEAR(B21)*12+MONTH(B21)</f>
        <v/>
      </c>
      <c r="N21" s="31">
        <f>YEAR(Cases!F21)*12+MONTH(Cases!F21)</f>
        <v/>
      </c>
      <c r="O21" s="31">
        <f>N21+Comm_Pay_Lag</f>
        <v/>
      </c>
    </row>
    <row r="22">
      <c r="A22" s="23">
        <f>Cases!A22</f>
        <v/>
      </c>
      <c r="B22" s="24">
        <f>Cases!B22</f>
        <v/>
      </c>
      <c r="C22" s="25">
        <f>Cases!C22</f>
        <v/>
      </c>
      <c r="D22" s="25">
        <f>Cases!E22</f>
        <v/>
      </c>
      <c r="E22" s="26">
        <f>Cases!G22</f>
        <v/>
      </c>
      <c r="F22" s="27">
        <f>IFERROR(INDEX(Line_Rates,MATCH(D22,Line_Names,0)),0)</f>
        <v/>
      </c>
      <c r="G22" s="26">
        <f>SUMIFS(Cases!$G$6:$G$35,Cases!$C$6:$C$35,C22,Cases!$B$6:$B$35,"&lt;="&amp;B22)</f>
        <v/>
      </c>
      <c r="H22" s="28">
        <f>IF(G22&gt;Accel_Threshold,Accel_Mult,1)</f>
        <v/>
      </c>
      <c r="I22" s="29">
        <f>IF(Cases!I22="Y",Split_Pct,1)</f>
        <v/>
      </c>
      <c r="J22" s="26">
        <f>E22*F22*H22*I22</f>
        <v/>
      </c>
      <c r="K22" s="26">
        <f>IF(Cases!J22="Y",-J22*Clawback_Pct,0)</f>
        <v/>
      </c>
      <c r="L22" s="30">
        <f>J22+K22</f>
        <v/>
      </c>
      <c r="M22" s="31">
        <f>YEAR(B22)*12+MONTH(B22)</f>
        <v/>
      </c>
      <c r="N22" s="31">
        <f>YEAR(Cases!F22)*12+MONTH(Cases!F22)</f>
        <v/>
      </c>
      <c r="O22" s="31">
        <f>N22+Comm_Pay_Lag</f>
        <v/>
      </c>
    </row>
    <row r="23">
      <c r="A23" s="23">
        <f>Cases!A23</f>
        <v/>
      </c>
      <c r="B23" s="24">
        <f>Cases!B23</f>
        <v/>
      </c>
      <c r="C23" s="25">
        <f>Cases!C23</f>
        <v/>
      </c>
      <c r="D23" s="25">
        <f>Cases!E23</f>
        <v/>
      </c>
      <c r="E23" s="26">
        <f>Cases!G23</f>
        <v/>
      </c>
      <c r="F23" s="27">
        <f>IFERROR(INDEX(Line_Rates,MATCH(D23,Line_Names,0)),0)</f>
        <v/>
      </c>
      <c r="G23" s="26">
        <f>SUMIFS(Cases!$G$6:$G$35,Cases!$C$6:$C$35,C23,Cases!$B$6:$B$35,"&lt;="&amp;B23)</f>
        <v/>
      </c>
      <c r="H23" s="28">
        <f>IF(G23&gt;Accel_Threshold,Accel_Mult,1)</f>
        <v/>
      </c>
      <c r="I23" s="29">
        <f>IF(Cases!I23="Y",Split_Pct,1)</f>
        <v/>
      </c>
      <c r="J23" s="26">
        <f>E23*F23*H23*I23</f>
        <v/>
      </c>
      <c r="K23" s="26">
        <f>IF(Cases!J23="Y",-J23*Clawback_Pct,0)</f>
        <v/>
      </c>
      <c r="L23" s="30">
        <f>J23+K23</f>
        <v/>
      </c>
      <c r="M23" s="31">
        <f>YEAR(B23)*12+MONTH(B23)</f>
        <v/>
      </c>
      <c r="N23" s="31">
        <f>YEAR(Cases!F23)*12+MONTH(Cases!F23)</f>
        <v/>
      </c>
      <c r="O23" s="31">
        <f>N23+Comm_Pay_Lag</f>
        <v/>
      </c>
    </row>
    <row r="24">
      <c r="A24" s="23">
        <f>Cases!A24</f>
        <v/>
      </c>
      <c r="B24" s="24">
        <f>Cases!B24</f>
        <v/>
      </c>
      <c r="C24" s="25">
        <f>Cases!C24</f>
        <v/>
      </c>
      <c r="D24" s="25">
        <f>Cases!E24</f>
        <v/>
      </c>
      <c r="E24" s="26">
        <f>Cases!G24</f>
        <v/>
      </c>
      <c r="F24" s="27">
        <f>IFERROR(INDEX(Line_Rates,MATCH(D24,Line_Names,0)),0)</f>
        <v/>
      </c>
      <c r="G24" s="26">
        <f>SUMIFS(Cases!$G$6:$G$35,Cases!$C$6:$C$35,C24,Cases!$B$6:$B$35,"&lt;="&amp;B24)</f>
        <v/>
      </c>
      <c r="H24" s="28">
        <f>IF(G24&gt;Accel_Threshold,Accel_Mult,1)</f>
        <v/>
      </c>
      <c r="I24" s="29">
        <f>IF(Cases!I24="Y",Split_Pct,1)</f>
        <v/>
      </c>
      <c r="J24" s="26">
        <f>E24*F24*H24*I24</f>
        <v/>
      </c>
      <c r="K24" s="26">
        <f>IF(Cases!J24="Y",-J24*Clawback_Pct,0)</f>
        <v/>
      </c>
      <c r="L24" s="30">
        <f>J24+K24</f>
        <v/>
      </c>
      <c r="M24" s="31">
        <f>YEAR(B24)*12+MONTH(B24)</f>
        <v/>
      </c>
      <c r="N24" s="31">
        <f>YEAR(Cases!F24)*12+MONTH(Cases!F24)</f>
        <v/>
      </c>
      <c r="O24" s="31">
        <f>N24+Comm_Pay_Lag</f>
        <v/>
      </c>
    </row>
    <row r="25">
      <c r="A25" s="23">
        <f>Cases!A25</f>
        <v/>
      </c>
      <c r="B25" s="24">
        <f>Cases!B25</f>
        <v/>
      </c>
      <c r="C25" s="25">
        <f>Cases!C25</f>
        <v/>
      </c>
      <c r="D25" s="25">
        <f>Cases!E25</f>
        <v/>
      </c>
      <c r="E25" s="26">
        <f>Cases!G25</f>
        <v/>
      </c>
      <c r="F25" s="27">
        <f>IFERROR(INDEX(Line_Rates,MATCH(D25,Line_Names,0)),0)</f>
        <v/>
      </c>
      <c r="G25" s="26">
        <f>SUMIFS(Cases!$G$6:$G$35,Cases!$C$6:$C$35,C25,Cases!$B$6:$B$35,"&lt;="&amp;B25)</f>
        <v/>
      </c>
      <c r="H25" s="28">
        <f>IF(G25&gt;Accel_Threshold,Accel_Mult,1)</f>
        <v/>
      </c>
      <c r="I25" s="29">
        <f>IF(Cases!I25="Y",Split_Pct,1)</f>
        <v/>
      </c>
      <c r="J25" s="26">
        <f>E25*F25*H25*I25</f>
        <v/>
      </c>
      <c r="K25" s="26">
        <f>IF(Cases!J25="Y",-J25*Clawback_Pct,0)</f>
        <v/>
      </c>
      <c r="L25" s="30">
        <f>J25+K25</f>
        <v/>
      </c>
      <c r="M25" s="31">
        <f>YEAR(B25)*12+MONTH(B25)</f>
        <v/>
      </c>
      <c r="N25" s="31">
        <f>YEAR(Cases!F25)*12+MONTH(Cases!F25)</f>
        <v/>
      </c>
      <c r="O25" s="31">
        <f>N25+Comm_Pay_Lag</f>
        <v/>
      </c>
    </row>
    <row r="26">
      <c r="A26" s="23">
        <f>Cases!A26</f>
        <v/>
      </c>
      <c r="B26" s="24">
        <f>Cases!B26</f>
        <v/>
      </c>
      <c r="C26" s="25">
        <f>Cases!C26</f>
        <v/>
      </c>
      <c r="D26" s="25">
        <f>Cases!E26</f>
        <v/>
      </c>
      <c r="E26" s="26">
        <f>Cases!G26</f>
        <v/>
      </c>
      <c r="F26" s="27">
        <f>IFERROR(INDEX(Line_Rates,MATCH(D26,Line_Names,0)),0)</f>
        <v/>
      </c>
      <c r="G26" s="26">
        <f>SUMIFS(Cases!$G$6:$G$35,Cases!$C$6:$C$35,C26,Cases!$B$6:$B$35,"&lt;="&amp;B26)</f>
        <v/>
      </c>
      <c r="H26" s="28">
        <f>IF(G26&gt;Accel_Threshold,Accel_Mult,1)</f>
        <v/>
      </c>
      <c r="I26" s="29">
        <f>IF(Cases!I26="Y",Split_Pct,1)</f>
        <v/>
      </c>
      <c r="J26" s="26">
        <f>E26*F26*H26*I26</f>
        <v/>
      </c>
      <c r="K26" s="26">
        <f>IF(Cases!J26="Y",-J26*Clawback_Pct,0)</f>
        <v/>
      </c>
      <c r="L26" s="30">
        <f>J26+K26</f>
        <v/>
      </c>
      <c r="M26" s="31">
        <f>YEAR(B26)*12+MONTH(B26)</f>
        <v/>
      </c>
      <c r="N26" s="31">
        <f>YEAR(Cases!F26)*12+MONTH(Cases!F26)</f>
        <v/>
      </c>
      <c r="O26" s="31">
        <f>N26+Comm_Pay_Lag</f>
        <v/>
      </c>
    </row>
    <row r="27">
      <c r="A27" s="23">
        <f>Cases!A27</f>
        <v/>
      </c>
      <c r="B27" s="24">
        <f>Cases!B27</f>
        <v/>
      </c>
      <c r="C27" s="25">
        <f>Cases!C27</f>
        <v/>
      </c>
      <c r="D27" s="25">
        <f>Cases!E27</f>
        <v/>
      </c>
      <c r="E27" s="26">
        <f>Cases!G27</f>
        <v/>
      </c>
      <c r="F27" s="27">
        <f>IFERROR(INDEX(Line_Rates,MATCH(D27,Line_Names,0)),0)</f>
        <v/>
      </c>
      <c r="G27" s="26">
        <f>SUMIFS(Cases!$G$6:$G$35,Cases!$C$6:$C$35,C27,Cases!$B$6:$B$35,"&lt;="&amp;B27)</f>
        <v/>
      </c>
      <c r="H27" s="28">
        <f>IF(G27&gt;Accel_Threshold,Accel_Mult,1)</f>
        <v/>
      </c>
      <c r="I27" s="29">
        <f>IF(Cases!I27="Y",Split_Pct,1)</f>
        <v/>
      </c>
      <c r="J27" s="26">
        <f>E27*F27*H27*I27</f>
        <v/>
      </c>
      <c r="K27" s="26">
        <f>IF(Cases!J27="Y",-J27*Clawback_Pct,0)</f>
        <v/>
      </c>
      <c r="L27" s="30">
        <f>J27+K27</f>
        <v/>
      </c>
      <c r="M27" s="31">
        <f>YEAR(B27)*12+MONTH(B27)</f>
        <v/>
      </c>
      <c r="N27" s="31">
        <f>YEAR(Cases!F27)*12+MONTH(Cases!F27)</f>
        <v/>
      </c>
      <c r="O27" s="31">
        <f>N27+Comm_Pay_Lag</f>
        <v/>
      </c>
    </row>
    <row r="28">
      <c r="A28" s="23">
        <f>Cases!A28</f>
        <v/>
      </c>
      <c r="B28" s="24">
        <f>Cases!B28</f>
        <v/>
      </c>
      <c r="C28" s="25">
        <f>Cases!C28</f>
        <v/>
      </c>
      <c r="D28" s="25">
        <f>Cases!E28</f>
        <v/>
      </c>
      <c r="E28" s="26">
        <f>Cases!G28</f>
        <v/>
      </c>
      <c r="F28" s="27">
        <f>IFERROR(INDEX(Line_Rates,MATCH(D28,Line_Names,0)),0)</f>
        <v/>
      </c>
      <c r="G28" s="26">
        <f>SUMIFS(Cases!$G$6:$G$35,Cases!$C$6:$C$35,C28,Cases!$B$6:$B$35,"&lt;="&amp;B28)</f>
        <v/>
      </c>
      <c r="H28" s="28">
        <f>IF(G28&gt;Accel_Threshold,Accel_Mult,1)</f>
        <v/>
      </c>
      <c r="I28" s="29">
        <f>IF(Cases!I28="Y",Split_Pct,1)</f>
        <v/>
      </c>
      <c r="J28" s="26">
        <f>E28*F28*H28*I28</f>
        <v/>
      </c>
      <c r="K28" s="26">
        <f>IF(Cases!J28="Y",-J28*Clawback_Pct,0)</f>
        <v/>
      </c>
      <c r="L28" s="30">
        <f>J28+K28</f>
        <v/>
      </c>
      <c r="M28" s="31">
        <f>YEAR(B28)*12+MONTH(B28)</f>
        <v/>
      </c>
      <c r="N28" s="31">
        <f>YEAR(Cases!F28)*12+MONTH(Cases!F28)</f>
        <v/>
      </c>
      <c r="O28" s="31">
        <f>N28+Comm_Pay_Lag</f>
        <v/>
      </c>
    </row>
    <row r="29">
      <c r="A29" s="23">
        <f>Cases!A29</f>
        <v/>
      </c>
      <c r="B29" s="24">
        <f>Cases!B29</f>
        <v/>
      </c>
      <c r="C29" s="25">
        <f>Cases!C29</f>
        <v/>
      </c>
      <c r="D29" s="25">
        <f>Cases!E29</f>
        <v/>
      </c>
      <c r="E29" s="26">
        <f>Cases!G29</f>
        <v/>
      </c>
      <c r="F29" s="27">
        <f>IFERROR(INDEX(Line_Rates,MATCH(D29,Line_Names,0)),0)</f>
        <v/>
      </c>
      <c r="G29" s="26">
        <f>SUMIFS(Cases!$G$6:$G$35,Cases!$C$6:$C$35,C29,Cases!$B$6:$B$35,"&lt;="&amp;B29)</f>
        <v/>
      </c>
      <c r="H29" s="28">
        <f>IF(G29&gt;Accel_Threshold,Accel_Mult,1)</f>
        <v/>
      </c>
      <c r="I29" s="29">
        <f>IF(Cases!I29="Y",Split_Pct,1)</f>
        <v/>
      </c>
      <c r="J29" s="26">
        <f>E29*F29*H29*I29</f>
        <v/>
      </c>
      <c r="K29" s="26">
        <f>IF(Cases!J29="Y",-J29*Clawback_Pct,0)</f>
        <v/>
      </c>
      <c r="L29" s="30">
        <f>J29+K29</f>
        <v/>
      </c>
      <c r="M29" s="31">
        <f>YEAR(B29)*12+MONTH(B29)</f>
        <v/>
      </c>
      <c r="N29" s="31">
        <f>YEAR(Cases!F29)*12+MONTH(Cases!F29)</f>
        <v/>
      </c>
      <c r="O29" s="31">
        <f>N29+Comm_Pay_Lag</f>
        <v/>
      </c>
    </row>
    <row r="30">
      <c r="A30" s="23">
        <f>Cases!A30</f>
        <v/>
      </c>
      <c r="B30" s="24">
        <f>Cases!B30</f>
        <v/>
      </c>
      <c r="C30" s="25">
        <f>Cases!C30</f>
        <v/>
      </c>
      <c r="D30" s="25">
        <f>Cases!E30</f>
        <v/>
      </c>
      <c r="E30" s="26">
        <f>Cases!G30</f>
        <v/>
      </c>
      <c r="F30" s="27">
        <f>IFERROR(INDEX(Line_Rates,MATCH(D30,Line_Names,0)),0)</f>
        <v/>
      </c>
      <c r="G30" s="26">
        <f>SUMIFS(Cases!$G$6:$G$35,Cases!$C$6:$C$35,C30,Cases!$B$6:$B$35,"&lt;="&amp;B30)</f>
        <v/>
      </c>
      <c r="H30" s="28">
        <f>IF(G30&gt;Accel_Threshold,Accel_Mult,1)</f>
        <v/>
      </c>
      <c r="I30" s="29">
        <f>IF(Cases!I30="Y",Split_Pct,1)</f>
        <v/>
      </c>
      <c r="J30" s="26">
        <f>E30*F30*H30*I30</f>
        <v/>
      </c>
      <c r="K30" s="26">
        <f>IF(Cases!J30="Y",-J30*Clawback_Pct,0)</f>
        <v/>
      </c>
      <c r="L30" s="30">
        <f>J30+K30</f>
        <v/>
      </c>
      <c r="M30" s="31">
        <f>YEAR(B30)*12+MONTH(B30)</f>
        <v/>
      </c>
      <c r="N30" s="31">
        <f>YEAR(Cases!F30)*12+MONTH(Cases!F30)</f>
        <v/>
      </c>
      <c r="O30" s="31">
        <f>N30+Comm_Pay_Lag</f>
        <v/>
      </c>
    </row>
    <row r="31">
      <c r="A31" s="23">
        <f>Cases!A31</f>
        <v/>
      </c>
      <c r="B31" s="24">
        <f>Cases!B31</f>
        <v/>
      </c>
      <c r="C31" s="25">
        <f>Cases!C31</f>
        <v/>
      </c>
      <c r="D31" s="25">
        <f>Cases!E31</f>
        <v/>
      </c>
      <c r="E31" s="26">
        <f>Cases!G31</f>
        <v/>
      </c>
      <c r="F31" s="27">
        <f>IFERROR(INDEX(Line_Rates,MATCH(D31,Line_Names,0)),0)</f>
        <v/>
      </c>
      <c r="G31" s="26">
        <f>SUMIFS(Cases!$G$6:$G$35,Cases!$C$6:$C$35,C31,Cases!$B$6:$B$35,"&lt;="&amp;B31)</f>
        <v/>
      </c>
      <c r="H31" s="28">
        <f>IF(G31&gt;Accel_Threshold,Accel_Mult,1)</f>
        <v/>
      </c>
      <c r="I31" s="29">
        <f>IF(Cases!I31="Y",Split_Pct,1)</f>
        <v/>
      </c>
      <c r="J31" s="26">
        <f>E31*F31*H31*I31</f>
        <v/>
      </c>
      <c r="K31" s="26">
        <f>IF(Cases!J31="Y",-J31*Clawback_Pct,0)</f>
        <v/>
      </c>
      <c r="L31" s="30">
        <f>J31+K31</f>
        <v/>
      </c>
      <c r="M31" s="31">
        <f>YEAR(B31)*12+MONTH(B31)</f>
        <v/>
      </c>
      <c r="N31" s="31">
        <f>YEAR(Cases!F31)*12+MONTH(Cases!F31)</f>
        <v/>
      </c>
      <c r="O31" s="31">
        <f>N31+Comm_Pay_Lag</f>
        <v/>
      </c>
    </row>
    <row r="32">
      <c r="A32" s="23">
        <f>Cases!A32</f>
        <v/>
      </c>
      <c r="B32" s="24">
        <f>Cases!B32</f>
        <v/>
      </c>
      <c r="C32" s="25">
        <f>Cases!C32</f>
        <v/>
      </c>
      <c r="D32" s="25">
        <f>Cases!E32</f>
        <v/>
      </c>
      <c r="E32" s="26">
        <f>Cases!G32</f>
        <v/>
      </c>
      <c r="F32" s="27">
        <f>IFERROR(INDEX(Line_Rates,MATCH(D32,Line_Names,0)),0)</f>
        <v/>
      </c>
      <c r="G32" s="26">
        <f>SUMIFS(Cases!$G$6:$G$35,Cases!$C$6:$C$35,C32,Cases!$B$6:$B$35,"&lt;="&amp;B32)</f>
        <v/>
      </c>
      <c r="H32" s="28">
        <f>IF(G32&gt;Accel_Threshold,Accel_Mult,1)</f>
        <v/>
      </c>
      <c r="I32" s="29">
        <f>IF(Cases!I32="Y",Split_Pct,1)</f>
        <v/>
      </c>
      <c r="J32" s="26">
        <f>E32*F32*H32*I32</f>
        <v/>
      </c>
      <c r="K32" s="26">
        <f>IF(Cases!J32="Y",-J32*Clawback_Pct,0)</f>
        <v/>
      </c>
      <c r="L32" s="30">
        <f>J32+K32</f>
        <v/>
      </c>
      <c r="M32" s="31">
        <f>YEAR(B32)*12+MONTH(B32)</f>
        <v/>
      </c>
      <c r="N32" s="31">
        <f>YEAR(Cases!F32)*12+MONTH(Cases!F32)</f>
        <v/>
      </c>
      <c r="O32" s="31">
        <f>N32+Comm_Pay_Lag</f>
        <v/>
      </c>
    </row>
    <row r="33">
      <c r="A33" s="23">
        <f>Cases!A33</f>
        <v/>
      </c>
      <c r="B33" s="24">
        <f>Cases!B33</f>
        <v/>
      </c>
      <c r="C33" s="25">
        <f>Cases!C33</f>
        <v/>
      </c>
      <c r="D33" s="25">
        <f>Cases!E33</f>
        <v/>
      </c>
      <c r="E33" s="26">
        <f>Cases!G33</f>
        <v/>
      </c>
      <c r="F33" s="27">
        <f>IFERROR(INDEX(Line_Rates,MATCH(D33,Line_Names,0)),0)</f>
        <v/>
      </c>
      <c r="G33" s="26">
        <f>SUMIFS(Cases!$G$6:$G$35,Cases!$C$6:$C$35,C33,Cases!$B$6:$B$35,"&lt;="&amp;B33)</f>
        <v/>
      </c>
      <c r="H33" s="28">
        <f>IF(G33&gt;Accel_Threshold,Accel_Mult,1)</f>
        <v/>
      </c>
      <c r="I33" s="29">
        <f>IF(Cases!I33="Y",Split_Pct,1)</f>
        <v/>
      </c>
      <c r="J33" s="26">
        <f>E33*F33*H33*I33</f>
        <v/>
      </c>
      <c r="K33" s="26">
        <f>IF(Cases!J33="Y",-J33*Clawback_Pct,0)</f>
        <v/>
      </c>
      <c r="L33" s="30">
        <f>J33+K33</f>
        <v/>
      </c>
      <c r="M33" s="31">
        <f>YEAR(B33)*12+MONTH(B33)</f>
        <v/>
      </c>
      <c r="N33" s="31">
        <f>YEAR(Cases!F33)*12+MONTH(Cases!F33)</f>
        <v/>
      </c>
      <c r="O33" s="31">
        <f>N33+Comm_Pay_Lag</f>
        <v/>
      </c>
    </row>
    <row r="34">
      <c r="A34" s="23">
        <f>Cases!A34</f>
        <v/>
      </c>
      <c r="B34" s="24">
        <f>Cases!B34</f>
        <v/>
      </c>
      <c r="C34" s="25">
        <f>Cases!C34</f>
        <v/>
      </c>
      <c r="D34" s="25">
        <f>Cases!E34</f>
        <v/>
      </c>
      <c r="E34" s="26">
        <f>Cases!G34</f>
        <v/>
      </c>
      <c r="F34" s="27">
        <f>IFERROR(INDEX(Line_Rates,MATCH(D34,Line_Names,0)),0)</f>
        <v/>
      </c>
      <c r="G34" s="26">
        <f>SUMIFS(Cases!$G$6:$G$35,Cases!$C$6:$C$35,C34,Cases!$B$6:$B$35,"&lt;="&amp;B34)</f>
        <v/>
      </c>
      <c r="H34" s="28">
        <f>IF(G34&gt;Accel_Threshold,Accel_Mult,1)</f>
        <v/>
      </c>
      <c r="I34" s="29">
        <f>IF(Cases!I34="Y",Split_Pct,1)</f>
        <v/>
      </c>
      <c r="J34" s="26">
        <f>E34*F34*H34*I34</f>
        <v/>
      </c>
      <c r="K34" s="26">
        <f>IF(Cases!J34="Y",-J34*Clawback_Pct,0)</f>
        <v/>
      </c>
      <c r="L34" s="30">
        <f>J34+K34</f>
        <v/>
      </c>
      <c r="M34" s="31">
        <f>YEAR(B34)*12+MONTH(B34)</f>
        <v/>
      </c>
      <c r="N34" s="31">
        <f>YEAR(Cases!F34)*12+MONTH(Cases!F34)</f>
        <v/>
      </c>
      <c r="O34" s="31">
        <f>N34+Comm_Pay_Lag</f>
        <v/>
      </c>
    </row>
    <row r="35">
      <c r="A35" s="23">
        <f>Cases!A35</f>
        <v/>
      </c>
      <c r="B35" s="24">
        <f>Cases!B35</f>
        <v/>
      </c>
      <c r="C35" s="25">
        <f>Cases!C35</f>
        <v/>
      </c>
      <c r="D35" s="25">
        <f>Cases!E35</f>
        <v/>
      </c>
      <c r="E35" s="26">
        <f>Cases!G35</f>
        <v/>
      </c>
      <c r="F35" s="27">
        <f>IFERROR(INDEX(Line_Rates,MATCH(D35,Line_Names,0)),0)</f>
        <v/>
      </c>
      <c r="G35" s="26">
        <f>SUMIFS(Cases!$G$6:$G$35,Cases!$C$6:$C$35,C35,Cases!$B$6:$B$35,"&lt;="&amp;B35)</f>
        <v/>
      </c>
      <c r="H35" s="28">
        <f>IF(G35&gt;Accel_Threshold,Accel_Mult,1)</f>
        <v/>
      </c>
      <c r="I35" s="29">
        <f>IF(Cases!I35="Y",Split_Pct,1)</f>
        <v/>
      </c>
      <c r="J35" s="26">
        <f>E35*F35*H35*I35</f>
        <v/>
      </c>
      <c r="K35" s="26">
        <f>IF(Cases!J35="Y",-J35*Clawback_Pct,0)</f>
        <v/>
      </c>
      <c r="L35" s="30">
        <f>J35+K35</f>
        <v/>
      </c>
      <c r="M35" s="31">
        <f>YEAR(B35)*12+MONTH(B35)</f>
        <v/>
      </c>
      <c r="N35" s="31">
        <f>YEAR(Cases!F35)*12+MONTH(Cases!F35)</f>
        <v/>
      </c>
      <c r="O35" s="31">
        <f>N35+Comm_Pay_Lag</f>
        <v/>
      </c>
    </row>
    <row r="37">
      <c r="A37" s="21" t="inlineStr">
        <is>
          <t>Total</t>
        </is>
      </c>
      <c r="E37" s="22">
        <f>SUM(E6:E35)</f>
        <v/>
      </c>
      <c r="J37" s="22">
        <f>SUM(J6:J35)</f>
        <v/>
      </c>
      <c r="K37" s="22">
        <f>SUM(K6:K35)</f>
        <v/>
      </c>
      <c r="L37" s="22">
        <f>SUM(L6:L35)</f>
        <v/>
      </c>
    </row>
    <row r="39">
      <c r="A39" s="11" t="inlineStr">
        <is>
          <t>Accelerator shaded where it has kicked in. 'Earned mo' and 'Pay mo' are integer month keys (year x 12 + month) — every SUMIFS in the file reads them, so a case lands in exactly one month.</t>
        </is>
      </c>
    </row>
    <row r="41">
      <c r="A41" s="5" t="n"/>
      <c r="B41" s="5" t="n"/>
      <c r="C41" s="5" t="n"/>
      <c r="D41" s="5" t="n"/>
      <c r="E41" s="5" t="n"/>
      <c r="F41" s="5" t="n"/>
      <c r="G41" s="5" t="n"/>
      <c r="H41" s="5" t="n"/>
      <c r="I41" s="5" t="n"/>
      <c r="J41" s="5" t="n"/>
      <c r="K41" s="5" t="n"/>
      <c r="L41" s="5" t="n"/>
      <c r="M41" s="5" t="n"/>
      <c r="N41" s="5" t="n"/>
      <c r="O41" s="5" t="n"/>
    </row>
    <row r="42">
      <c r="A42" s="6" t="inlineStr">
        <is>
          <t>Spreadsheet Studio template v1.0  ·  built for this client, formulas live</t>
        </is>
      </c>
    </row>
  </sheetData>
  <conditionalFormatting sqref="H6:H35">
    <cfRule type="expression" priority="1" dxfId="0">
      <formula>$H6&gt;1</formula>
    </cfRule>
  </conditionalFormatting>
  <pageMargins left="0.75" right="0.75" top="1" bottom="1" header="0.5" footer="0.5"/>
  <pageSetup orientation="landscape" fitToWidth="1"/>
</worksheet>
</file>

<file path=xl/worksheets/sheet5.xml><?xml version="1.0" encoding="utf-8"?>
<worksheet xmlns="http://schemas.openxmlformats.org/spreadsheetml/2006/main">
  <sheetPr>
    <tabColor rgb="001F6F4A"/>
    <outlinePr summaryBelow="1" summaryRight="1"/>
    <pageSetUpPr fitToPage="1"/>
  </sheetPr>
  <dimension ref="A2:I39"/>
  <sheetViews>
    <sheetView showGridLines="0" zoomScale="115" workbookViewId="0">
      <pane xSplit="2" ySplit="6" topLeftCell="C7" activePane="bottomRight" state="frozen"/>
      <selection pane="topRight"/>
      <selection pane="bottomLeft"/>
      <selection pane="bottomRight" activeCell="A1" sqref="A1"/>
    </sheetView>
  </sheetViews>
  <sheetFormatPr baseColWidth="8" defaultRowHeight="15"/>
  <cols>
    <col width="50" customWidth="1" min="1" max="1"/>
    <col width="3" customWidth="1" min="2" max="2"/>
    <col width="13" customWidth="1" min="3" max="3"/>
    <col width="13" customWidth="1" min="4" max="4"/>
    <col width="13" customWidth="1" min="5" max="5"/>
    <col width="13" customWidth="1" min="6" max="6"/>
    <col width="13" customWidth="1" min="7" max="7"/>
    <col width="13" customWidth="1" min="8" max="8"/>
    <col width="14" customWidth="1" min="9" max="9"/>
  </cols>
  <sheetData>
    <row r="2">
      <c r="A2" s="1">
        <f>Client_Name&amp;" — commission accrual and the liability nobody books"</f>
        <v/>
      </c>
    </row>
    <row r="3">
      <c r="A3" s="2" t="inlineStr">
        <is>
          <t>Earned on the case date on the left; booked on the invoice date on the right. The gap between them is the number that turns up at year end.</t>
        </is>
      </c>
    </row>
    <row r="5">
      <c r="A5" s="32" t="inlineStr">
        <is>
          <t>Month</t>
        </is>
      </c>
      <c r="B5" s="33" t="n"/>
      <c r="C5" s="17">
        <f>TEXT(DATE(INT((C6-1)/12),MOD(C6-1,12)+1,1),"mmm-yy")</f>
        <v/>
      </c>
      <c r="D5" s="17">
        <f>TEXT(DATE(INT((D6-1)/12),MOD(D6-1,12)+1,1),"mmm-yy")</f>
        <v/>
      </c>
      <c r="E5" s="17">
        <f>TEXT(DATE(INT((E6-1)/12),MOD(E6-1,12)+1,1),"mmm-yy")</f>
        <v/>
      </c>
      <c r="F5" s="17">
        <f>TEXT(DATE(INT((F6-1)/12),MOD(F6-1,12)+1,1),"mmm-yy")</f>
        <v/>
      </c>
      <c r="G5" s="17">
        <f>TEXT(DATE(INT((G6-1)/12),MOD(G6-1,12)+1,1),"mmm-yy")</f>
        <v/>
      </c>
      <c r="H5" s="17">
        <f>TEXT(DATE(INT((H6-1)/12),MOD(H6-1,12)+1,1),"mmm-yy")</f>
        <v/>
      </c>
      <c r="I5" s="17" t="inlineStr">
        <is>
          <t>Total</t>
        </is>
      </c>
    </row>
    <row r="6">
      <c r="A6" s="11" t="inlineStr">
        <is>
          <t>Month key</t>
        </is>
      </c>
      <c r="C6" s="34">
        <f>YEAR(Period_Start)*12+MONTH(Period_Start)</f>
        <v/>
      </c>
      <c r="D6" s="34">
        <f>C6+1</f>
        <v/>
      </c>
      <c r="E6" s="34">
        <f>D6+1</f>
        <v/>
      </c>
      <c r="F6" s="34">
        <f>E6+1</f>
        <v/>
      </c>
      <c r="G6" s="34">
        <f>F6+1</f>
        <v/>
      </c>
      <c r="H6" s="34">
        <f>G6+1</f>
        <v/>
      </c>
    </row>
    <row r="8">
      <c r="A8" s="7" t="inlineStr">
        <is>
          <t>WHAT THE REPS ACTUALLY EARNED   (booked on the case date)</t>
        </is>
      </c>
      <c r="B8" s="8" t="n"/>
      <c r="C8" s="8" t="n"/>
      <c r="D8" s="8" t="n"/>
      <c r="E8" s="8" t="n"/>
      <c r="F8" s="8" t="n"/>
      <c r="G8" s="8" t="n"/>
      <c r="H8" s="8" t="n"/>
      <c r="I8" s="8" t="n"/>
    </row>
    <row r="9">
      <c r="A9" s="9" t="inlineStr">
        <is>
          <t>Cases performed</t>
        </is>
      </c>
      <c r="C9" s="35">
        <f>COUNTIFS(Commission!$M$6:$M$35,C6)</f>
        <v/>
      </c>
      <c r="D9" s="35">
        <f>COUNTIFS(Commission!$M$6:$M$35,D6)</f>
        <v/>
      </c>
      <c r="E9" s="35">
        <f>COUNTIFS(Commission!$M$6:$M$35,E6)</f>
        <v/>
      </c>
      <c r="F9" s="35">
        <f>COUNTIFS(Commission!$M$6:$M$35,F6)</f>
        <v/>
      </c>
      <c r="G9" s="35">
        <f>COUNTIFS(Commission!$M$6:$M$35,G6)</f>
        <v/>
      </c>
      <c r="H9" s="35">
        <f>COUNTIFS(Commission!$M$6:$M$35,H6)</f>
        <v/>
      </c>
      <c r="I9" s="35">
        <f>SUM(C9:H9)</f>
        <v/>
      </c>
    </row>
    <row r="10">
      <c r="A10" s="9" t="inlineStr">
        <is>
          <t>Case revenue</t>
        </is>
      </c>
      <c r="C10" s="26">
        <f>SUMIFS(Commission!$E$6:$E$35,Commission!$M$6:$M$35,C6)</f>
        <v/>
      </c>
      <c r="D10" s="26">
        <f>SUMIFS(Commission!$E$6:$E$35,Commission!$M$6:$M$35,D6)</f>
        <v/>
      </c>
      <c r="E10" s="26">
        <f>SUMIFS(Commission!$E$6:$E$35,Commission!$M$6:$M$35,E6)</f>
        <v/>
      </c>
      <c r="F10" s="26">
        <f>SUMIFS(Commission!$E$6:$E$35,Commission!$M$6:$M$35,F6)</f>
        <v/>
      </c>
      <c r="G10" s="26">
        <f>SUMIFS(Commission!$E$6:$E$35,Commission!$M$6:$M$35,G6)</f>
        <v/>
      </c>
      <c r="H10" s="26">
        <f>SUMIFS(Commission!$E$6:$E$35,Commission!$M$6:$M$35,H6)</f>
        <v/>
      </c>
      <c r="I10" s="26">
        <f>SUM(C10:H10)</f>
        <v/>
      </c>
    </row>
    <row r="11">
      <c r="A11" s="21" t="inlineStr">
        <is>
          <t>Commission earned</t>
        </is>
      </c>
      <c r="C11" s="30">
        <f>SUMIFS(Commission!$L$6:$L$35,Commission!$M$6:$M$35,C6)</f>
        <v/>
      </c>
      <c r="D11" s="30">
        <f>SUMIFS(Commission!$L$6:$L$35,Commission!$M$6:$M$35,D6)</f>
        <v/>
      </c>
      <c r="E11" s="30">
        <f>SUMIFS(Commission!$L$6:$L$35,Commission!$M$6:$M$35,E6)</f>
        <v/>
      </c>
      <c r="F11" s="30">
        <f>SUMIFS(Commission!$L$6:$L$35,Commission!$M$6:$M$35,F6)</f>
        <v/>
      </c>
      <c r="G11" s="30">
        <f>SUMIFS(Commission!$L$6:$L$35,Commission!$M$6:$M$35,G6)</f>
        <v/>
      </c>
      <c r="H11" s="30">
        <f>SUMIFS(Commission!$L$6:$L$35,Commission!$M$6:$M$35,H6)</f>
        <v/>
      </c>
      <c r="I11" s="30">
        <f>SUM(C11:H11)</f>
        <v/>
      </c>
    </row>
    <row r="13">
      <c r="A13" s="7" t="inlineStr">
        <is>
          <t>WHAT AN INVOICE-BASIS BOOK WOULD SHOW INSTEAD</t>
        </is>
      </c>
      <c r="B13" s="8" t="n"/>
      <c r="C13" s="8" t="n"/>
      <c r="D13" s="8" t="n"/>
      <c r="E13" s="8" t="n"/>
      <c r="F13" s="8" t="n"/>
      <c r="G13" s="8" t="n"/>
      <c r="H13" s="8" t="n"/>
      <c r="I13" s="8" t="n"/>
    </row>
    <row r="14">
      <c r="A14" s="21" t="inlineStr">
        <is>
          <t>Commission on cases invoiced this month</t>
        </is>
      </c>
      <c r="C14" s="30">
        <f>SUMIFS(Commission!$L$6:$L$35,Commission!$N$6:$N$35,C6)</f>
        <v/>
      </c>
      <c r="D14" s="30">
        <f>SUMIFS(Commission!$L$6:$L$35,Commission!$N$6:$N$35,D6)</f>
        <v/>
      </c>
      <c r="E14" s="30">
        <f>SUMIFS(Commission!$L$6:$L$35,Commission!$N$6:$N$35,E6)</f>
        <v/>
      </c>
      <c r="F14" s="30">
        <f>SUMIFS(Commission!$L$6:$L$35,Commission!$N$6:$N$35,F6)</f>
        <v/>
      </c>
      <c r="G14" s="30">
        <f>SUMIFS(Commission!$L$6:$L$35,Commission!$N$6:$N$35,G6)</f>
        <v/>
      </c>
      <c r="H14" s="30">
        <f>SUMIFS(Commission!$L$6:$L$35,Commission!$N$6:$N$35,H6)</f>
        <v/>
      </c>
      <c r="I14" s="30">
        <f>SUM(C14:H14)</f>
        <v/>
      </c>
    </row>
    <row r="15">
      <c r="A15" s="9" t="inlineStr">
        <is>
          <t>Commission on cases still not invoiced at the last month end</t>
        </is>
      </c>
      <c r="I15" s="30">
        <f>SUMIFS(Commission!$L$6:$L$35,Commission!$N$6:$N$35,"&gt;"&amp;H6)</f>
        <v/>
      </c>
    </row>
    <row r="17">
      <c r="A17" s="7" t="inlineStr">
        <is>
          <t>THE GAP</t>
        </is>
      </c>
      <c r="B17" s="8" t="n"/>
      <c r="C17" s="8" t="n"/>
      <c r="D17" s="8" t="n"/>
      <c r="E17" s="8" t="n"/>
      <c r="F17" s="8" t="n"/>
      <c r="G17" s="8" t="n"/>
      <c r="H17" s="8" t="n"/>
      <c r="I17" s="8" t="n"/>
    </row>
    <row r="18">
      <c r="A18" s="9" t="inlineStr">
        <is>
          <t>Cumulative commission earned  (case basis)</t>
        </is>
      </c>
      <c r="C18" s="26">
        <f>SUMIFS(Commission!$L$6:$L$35,Commission!$M$6:$M$35,"&lt;="&amp;C6)</f>
        <v/>
      </c>
      <c r="D18" s="26">
        <f>SUMIFS(Commission!$L$6:$L$35,Commission!$M$6:$M$35,"&lt;="&amp;D6)</f>
        <v/>
      </c>
      <c r="E18" s="26">
        <f>SUMIFS(Commission!$L$6:$L$35,Commission!$M$6:$M$35,"&lt;="&amp;E6)</f>
        <v/>
      </c>
      <c r="F18" s="26">
        <f>SUMIFS(Commission!$L$6:$L$35,Commission!$M$6:$M$35,"&lt;="&amp;F6)</f>
        <v/>
      </c>
      <c r="G18" s="26">
        <f>SUMIFS(Commission!$L$6:$L$35,Commission!$M$6:$M$35,"&lt;="&amp;G6)</f>
        <v/>
      </c>
      <c r="H18" s="26">
        <f>SUMIFS(Commission!$L$6:$L$35,Commission!$M$6:$M$35,"&lt;="&amp;H6)</f>
        <v/>
      </c>
    </row>
    <row r="19">
      <c r="A19" s="9" t="inlineStr">
        <is>
          <t>Cumulative commission booked  (invoice basis)</t>
        </is>
      </c>
      <c r="C19" s="26">
        <f>SUMIFS(Commission!$L$6:$L$35,Commission!$N$6:$N$35,"&lt;="&amp;C6)</f>
        <v/>
      </c>
      <c r="D19" s="26">
        <f>SUMIFS(Commission!$L$6:$L$35,Commission!$N$6:$N$35,"&lt;="&amp;D6)</f>
        <v/>
      </c>
      <c r="E19" s="26">
        <f>SUMIFS(Commission!$L$6:$L$35,Commission!$N$6:$N$35,"&lt;="&amp;E6)</f>
        <v/>
      </c>
      <c r="F19" s="26">
        <f>SUMIFS(Commission!$L$6:$L$35,Commission!$N$6:$N$35,"&lt;="&amp;F6)</f>
        <v/>
      </c>
      <c r="G19" s="26">
        <f>SUMIFS(Commission!$L$6:$L$35,Commission!$N$6:$N$35,"&lt;="&amp;G6)</f>
        <v/>
      </c>
      <c r="H19" s="26">
        <f>SUMIFS(Commission!$L$6:$L$35,Commission!$N$6:$N$35,"&lt;="&amp;H6)</f>
        <v/>
      </c>
    </row>
    <row r="20">
      <c r="A20" s="36" t="inlineStr">
        <is>
          <t>Liability the invoice basis is missing</t>
        </is>
      </c>
      <c r="B20" s="37" t="n"/>
      <c r="C20" s="22">
        <f>C18-C19</f>
        <v/>
      </c>
      <c r="D20" s="22">
        <f>D18-D19</f>
        <v/>
      </c>
      <c r="E20" s="22">
        <f>E18-E19</f>
        <v/>
      </c>
      <c r="F20" s="22">
        <f>F18-F19</f>
        <v/>
      </c>
      <c r="G20" s="22">
        <f>G18-G19</f>
        <v/>
      </c>
      <c r="H20" s="22">
        <f>H18-H19</f>
        <v/>
      </c>
    </row>
    <row r="21">
      <c r="A21" s="9" t="inlineStr">
        <is>
          <t>Understated by more than a month of commission?</t>
        </is>
      </c>
      <c r="C21" s="23">
        <f>IF(C20&gt;C11,"YES","no")</f>
        <v/>
      </c>
      <c r="D21" s="23">
        <f>IF(D20&gt;D11,"YES","no")</f>
        <v/>
      </c>
      <c r="E21" s="23">
        <f>IF(E20&gt;E11,"YES","no")</f>
        <v/>
      </c>
      <c r="F21" s="23">
        <f>IF(F20&gt;F11,"YES","no")</f>
        <v/>
      </c>
      <c r="G21" s="23">
        <f>IF(G20&gt;G11,"YES","no")</f>
        <v/>
      </c>
      <c r="H21" s="23">
        <f>IF(H20&gt;H11,"YES","no")</f>
        <v/>
      </c>
    </row>
    <row r="23">
      <c r="A23" s="7" t="inlineStr">
        <is>
          <t>ACCRUED COMMISSION LIABILITY — ROLL-FORWARD</t>
        </is>
      </c>
      <c r="B23" s="8" t="n"/>
      <c r="C23" s="8" t="n"/>
      <c r="D23" s="8" t="n"/>
      <c r="E23" s="8" t="n"/>
      <c r="F23" s="8" t="n"/>
      <c r="G23" s="8" t="n"/>
      <c r="H23" s="8" t="n"/>
      <c r="I23" s="8" t="n"/>
    </row>
    <row r="24">
      <c r="A24" s="9" t="inlineStr">
        <is>
          <t>Opening liability</t>
        </is>
      </c>
      <c r="C24" s="26">
        <f>Open_Comm_Liab</f>
        <v/>
      </c>
      <c r="D24" s="26">
        <f>C29</f>
        <v/>
      </c>
      <c r="E24" s="26">
        <f>D29</f>
        <v/>
      </c>
      <c r="F24" s="26">
        <f>E29</f>
        <v/>
      </c>
      <c r="G24" s="26">
        <f>F29</f>
        <v/>
      </c>
      <c r="H24" s="26">
        <f>G29</f>
        <v/>
      </c>
    </row>
    <row r="25">
      <c r="A25" s="9" t="inlineStr">
        <is>
          <t xml:space="preserve">    Add: commission earned this month</t>
        </is>
      </c>
      <c r="C25" s="26">
        <f>C11</f>
        <v/>
      </c>
      <c r="D25" s="26">
        <f>D11</f>
        <v/>
      </c>
      <c r="E25" s="26">
        <f>E11</f>
        <v/>
      </c>
      <c r="F25" s="26">
        <f>F11</f>
        <v/>
      </c>
      <c r="G25" s="26">
        <f>G11</f>
        <v/>
      </c>
      <c r="H25" s="26">
        <f>H11</f>
        <v/>
      </c>
    </row>
    <row r="26">
      <c r="A26" s="9" t="inlineStr">
        <is>
          <t xml:space="preserve">    Less: commission paid this month</t>
        </is>
      </c>
      <c r="C26" s="26">
        <f>-SUMIFS(Commission!$L$6:$L$35,Commission!$O$6:$O$35,C6)</f>
        <v/>
      </c>
      <c r="D26" s="26">
        <f>-SUMIFS(Commission!$L$6:$L$35,Commission!$O$6:$O$35,D6)</f>
        <v/>
      </c>
      <c r="E26" s="26">
        <f>-SUMIFS(Commission!$L$6:$L$35,Commission!$O$6:$O$35,E6)</f>
        <v/>
      </c>
      <c r="F26" s="26">
        <f>-SUMIFS(Commission!$L$6:$L$35,Commission!$O$6:$O$35,F6)</f>
        <v/>
      </c>
      <c r="G26" s="26">
        <f>-SUMIFS(Commission!$L$6:$L$35,Commission!$O$6:$O$35,G6)</f>
        <v/>
      </c>
      <c r="H26" s="26">
        <f>-SUMIFS(Commission!$L$6:$L$35,Commission!$O$6:$O$35,H6)</f>
        <v/>
      </c>
    </row>
    <row r="27">
      <c r="A27" s="9" t="inlineStr">
        <is>
          <t xml:space="preserve">    Less: prior-year commission paid out</t>
        </is>
      </c>
      <c r="C27" s="26">
        <f>IF(C6=$C$6,-Prior_Yr_Payout,0)</f>
        <v/>
      </c>
      <c r="D27" s="26">
        <f>IF(D6=$C$6,-Prior_Yr_Payout,0)</f>
        <v/>
      </c>
      <c r="E27" s="26">
        <f>IF(E6=$C$6,-Prior_Yr_Payout,0)</f>
        <v/>
      </c>
      <c r="F27" s="26">
        <f>IF(F6=$C$6,-Prior_Yr_Payout,0)</f>
        <v/>
      </c>
      <c r="G27" s="26">
        <f>IF(G6=$C$6,-Prior_Yr_Payout,0)</f>
        <v/>
      </c>
      <c r="H27" s="26">
        <f>IF(H6=$C$6,-Prior_Yr_Payout,0)</f>
        <v/>
      </c>
    </row>
    <row r="28">
      <c r="A28" s="36" t="inlineStr">
        <is>
          <t>Closing liability</t>
        </is>
      </c>
      <c r="B28" s="37" t="n"/>
      <c r="C28" s="22">
        <f>SUM(C24:C27)</f>
        <v/>
      </c>
      <c r="D28" s="22">
        <f>SUM(D24:D27)</f>
        <v/>
      </c>
      <c r="E28" s="22">
        <f>SUM(E24:E27)</f>
        <v/>
      </c>
      <c r="F28" s="22">
        <f>SUM(F24:F27)</f>
        <v/>
      </c>
      <c r="G28" s="22">
        <f>SUM(G24:G27)</f>
        <v/>
      </c>
      <c r="H28" s="22">
        <f>SUM(H24:H27)</f>
        <v/>
      </c>
    </row>
    <row r="29">
      <c r="A29" s="9" t="inlineStr">
        <is>
          <t>Closing liability — recomputed from the case detail</t>
        </is>
      </c>
      <c r="C29" s="26">
        <f>Open_Comm_Liab-Prior_Yr_Payout+SUMIFS(Commission!$L$6:$L$35,Commission!$M$6:$M$35,"&lt;="&amp;C6)-SUMIFS(Commission!$L$6:$L$35,Commission!$O$6:$O$35,"&lt;="&amp;C6)</f>
        <v/>
      </c>
      <c r="D29" s="26">
        <f>Open_Comm_Liab-Prior_Yr_Payout+SUMIFS(Commission!$L$6:$L$35,Commission!$M$6:$M$35,"&lt;="&amp;D6)-SUMIFS(Commission!$L$6:$L$35,Commission!$O$6:$O$35,"&lt;="&amp;D6)</f>
        <v/>
      </c>
      <c r="E29" s="26">
        <f>Open_Comm_Liab-Prior_Yr_Payout+SUMIFS(Commission!$L$6:$L$35,Commission!$M$6:$M$35,"&lt;="&amp;E6)-SUMIFS(Commission!$L$6:$L$35,Commission!$O$6:$O$35,"&lt;="&amp;E6)</f>
        <v/>
      </c>
      <c r="F29" s="26">
        <f>Open_Comm_Liab-Prior_Yr_Payout+SUMIFS(Commission!$L$6:$L$35,Commission!$M$6:$M$35,"&lt;="&amp;F6)-SUMIFS(Commission!$L$6:$L$35,Commission!$O$6:$O$35,"&lt;="&amp;F6)</f>
        <v/>
      </c>
      <c r="G29" s="26">
        <f>Open_Comm_Liab-Prior_Yr_Payout+SUMIFS(Commission!$L$6:$L$35,Commission!$M$6:$M$35,"&lt;="&amp;G6)-SUMIFS(Commission!$L$6:$L$35,Commission!$O$6:$O$35,"&lt;="&amp;G6)</f>
        <v/>
      </c>
      <c r="H29" s="26">
        <f>Open_Comm_Liab-Prior_Yr_Payout+SUMIFS(Commission!$L$6:$L$35,Commission!$M$6:$M$35,"&lt;="&amp;H6)-SUMIFS(Commission!$L$6:$L$35,Commission!$O$6:$O$35,"&lt;="&amp;H6)</f>
        <v/>
      </c>
    </row>
    <row r="30">
      <c r="A30" s="11" t="inlineStr">
        <is>
          <t>Recomputed straight from the 30 cases, not from the line above it. Two routes to the same number is the only kind of agreement worth having.</t>
        </is>
      </c>
    </row>
    <row r="32">
      <c r="A32" s="7" t="inlineStr">
        <is>
          <t>THE HEADLINES</t>
        </is>
      </c>
      <c r="B32" s="8" t="n"/>
      <c r="C32" s="8" t="n"/>
      <c r="D32" s="8" t="n"/>
      <c r="E32" s="8" t="n"/>
      <c r="F32" s="8" t="n"/>
      <c r="G32" s="8" t="n"/>
      <c r="H32" s="8" t="n"/>
      <c r="I32" s="8" t="n"/>
    </row>
    <row r="33">
      <c r="A33" s="38" t="inlineStr">
        <is>
          <t>COMMISSION LIABILITY MISSING AT 31 MARCH</t>
        </is>
      </c>
      <c r="D33" s="38" t="inlineStr">
        <is>
          <t>ACCRUED COMMISSION OWED AT THE LAST MONTH END</t>
        </is>
      </c>
      <c r="G33" s="38" t="inlineStr">
        <is>
          <t>COMMISSION ON CASES NOT YET INVOICED</t>
        </is>
      </c>
    </row>
    <row r="34">
      <c r="A34" s="39">
        <f>E20</f>
        <v/>
      </c>
      <c r="D34" s="40">
        <f>H28</f>
        <v/>
      </c>
      <c r="G34" s="39">
        <f>I15</f>
        <v/>
      </c>
    </row>
    <row r="36">
      <c r="A36" s="11" t="inlineStr">
        <is>
          <t>Read the first number out loud at a March board meeting and the year ends differently. It is not an estimate — it is the sum of cases already done.</t>
        </is>
      </c>
    </row>
    <row r="38">
      <c r="A38" s="5" t="n"/>
      <c r="B38" s="5" t="n"/>
      <c r="C38" s="5" t="n"/>
      <c r="D38" s="5" t="n"/>
      <c r="E38" s="5" t="n"/>
      <c r="F38" s="5" t="n"/>
      <c r="G38" s="5" t="n"/>
      <c r="H38" s="5" t="n"/>
      <c r="I38" s="5" t="n"/>
    </row>
    <row r="39">
      <c r="A39" s="6" t="inlineStr">
        <is>
          <t>Spreadsheet Studio template v1.0  ·  built for this client, formulas live</t>
        </is>
      </c>
    </row>
  </sheetData>
  <conditionalFormatting sqref="C21:H21">
    <cfRule type="expression" priority="1" dxfId="1" stopIfTrue="0">
      <formula>$C21="YES"</formula>
    </cfRule>
  </conditionalFormatting>
  <pageMargins left="0.75" right="0.75" top="1" bottom="1" header="0.5" footer="0.5"/>
  <pageSetup orientation="landscape" fitToWidth="1"/>
</worksheet>
</file>

<file path=xl/worksheets/sheet6.xml><?xml version="1.0" encoding="utf-8"?>
<worksheet xmlns="http://schemas.openxmlformats.org/spreadsheetml/2006/main">
  <sheetPr>
    <tabColor rgb="001F6F4A"/>
    <outlinePr summaryBelow="1" summaryRight="1"/>
    <pageSetUpPr fitToPage="1"/>
  </sheetPr>
  <dimension ref="A2:J29"/>
  <sheetViews>
    <sheetView showGridLines="0" zoomScale="115" workbookViewId="0">
      <pane xSplit="2" ySplit="7" topLeftCell="C8" activePane="bottomRight" state="frozen"/>
      <selection pane="topRight"/>
      <selection pane="bottomLeft"/>
      <selection pane="bottomRight" activeCell="A1" sqref="A1"/>
    </sheetView>
  </sheetViews>
  <sheetFormatPr baseColWidth="8" defaultRowHeight="15"/>
  <cols>
    <col width="34" customWidth="1" min="1" max="1"/>
    <col width="12" customWidth="1" min="2" max="2"/>
    <col width="12" customWidth="1" min="3" max="3"/>
    <col width="12" customWidth="1" min="4" max="4"/>
    <col width="12" customWidth="1" min="5" max="5"/>
    <col width="12" customWidth="1" min="6" max="6"/>
    <col width="12" customWidth="1" min="7" max="7"/>
    <col width="12" customWidth="1" min="8" max="8"/>
    <col width="13" customWidth="1" min="9" max="9"/>
    <col width="16" customWidth="1" min="10" max="10"/>
  </cols>
  <sheetData>
    <row r="2">
      <c r="A2" s="1">
        <f>Client_Name&amp;" — collections, on each hospital's own clock"</f>
        <v/>
      </c>
    </row>
    <row r="3">
      <c r="A3" s="2" t="inlineStr">
        <is>
          <t>The same invoices, collected two ways. One of them is what actually happens.</t>
        </is>
      </c>
    </row>
    <row r="5">
      <c r="A5" s="7" t="inlineStr">
        <is>
          <t>COLLECTIONS — EACH HEALTH SYSTEM ON ITS OWN DSO</t>
        </is>
      </c>
      <c r="B5" s="8" t="n"/>
      <c r="C5" s="8" t="n"/>
      <c r="D5" s="8" t="n"/>
      <c r="E5" s="8" t="n"/>
      <c r="F5" s="8" t="n"/>
      <c r="G5" s="8" t="n"/>
      <c r="H5" s="8" t="n"/>
      <c r="I5" s="8" t="n"/>
      <c r="J5" s="8" t="n"/>
    </row>
    <row r="6">
      <c r="A6" s="32" t="inlineStr">
        <is>
          <t>Health system</t>
        </is>
      </c>
      <c r="B6" s="17" t="inlineStr">
        <is>
          <t>DSO (days)</t>
        </is>
      </c>
      <c r="C6" s="17">
        <f>TEXT(DATE(INT((C7-1)/12),MOD(C7-1,12)+1,1),"mmm-yy")</f>
        <v/>
      </c>
      <c r="D6" s="17">
        <f>TEXT(DATE(INT((D7-1)/12),MOD(D7-1,12)+1,1),"mmm-yy")</f>
        <v/>
      </c>
      <c r="E6" s="17">
        <f>TEXT(DATE(INT((E7-1)/12),MOD(E7-1,12)+1,1),"mmm-yy")</f>
        <v/>
      </c>
      <c r="F6" s="17">
        <f>TEXT(DATE(INT((F7-1)/12),MOD(F7-1,12)+1,1),"mmm-yy")</f>
        <v/>
      </c>
      <c r="G6" s="17">
        <f>TEXT(DATE(INT((G7-1)/12),MOD(G7-1,12)+1,1),"mmm-yy")</f>
        <v/>
      </c>
      <c r="H6" s="17">
        <f>TEXT(DATE(INT((H7-1)/12),MOD(H7-1,12)+1,1),"mmm-yy")</f>
        <v/>
      </c>
      <c r="I6" s="17" t="inlineStr">
        <is>
          <t>Collected</t>
        </is>
      </c>
      <c r="J6" s="17" t="inlineStr">
        <is>
          <t>Invoiced</t>
        </is>
      </c>
    </row>
    <row r="7">
      <c r="A7" s="11" t="inlineStr">
        <is>
          <t>Month key</t>
        </is>
      </c>
      <c r="C7" s="34">
        <f>YEAR(Period_Start)*12+MONTH(Period_Start)</f>
        <v/>
      </c>
      <c r="D7" s="34">
        <f>C7+1</f>
        <v/>
      </c>
      <c r="E7" s="34">
        <f>D7+1</f>
        <v/>
      </c>
      <c r="F7" s="34">
        <f>E7+1</f>
        <v/>
      </c>
      <c r="G7" s="34">
        <f>F7+1</f>
        <v/>
      </c>
      <c r="H7" s="34">
        <f>G7+1</f>
        <v/>
      </c>
    </row>
    <row r="8">
      <c r="A8" s="25">
        <f>Inputs!A27</f>
        <v/>
      </c>
      <c r="B8" s="41">
        <f>Inputs!B27</f>
        <v/>
      </c>
      <c r="C8" s="26">
        <f>SUMIFS(Collect!$D$6:$D$35,Collect!$B$6:$B$35,$A8,Collect!$G$6:$G$35,C$7)</f>
        <v/>
      </c>
      <c r="D8" s="26">
        <f>SUMIFS(Collect!$D$6:$D$35,Collect!$B$6:$B$35,$A8,Collect!$G$6:$G$35,D$7)</f>
        <v/>
      </c>
      <c r="E8" s="26">
        <f>SUMIFS(Collect!$D$6:$D$35,Collect!$B$6:$B$35,$A8,Collect!$G$6:$G$35,E$7)</f>
        <v/>
      </c>
      <c r="F8" s="26">
        <f>SUMIFS(Collect!$D$6:$D$35,Collect!$B$6:$B$35,$A8,Collect!$G$6:$G$35,F$7)</f>
        <v/>
      </c>
      <c r="G8" s="26">
        <f>SUMIFS(Collect!$D$6:$D$35,Collect!$B$6:$B$35,$A8,Collect!$G$6:$G$35,G$7)</f>
        <v/>
      </c>
      <c r="H8" s="26">
        <f>SUMIFS(Collect!$D$6:$D$35,Collect!$B$6:$B$35,$A8,Collect!$G$6:$G$35,H$7)</f>
        <v/>
      </c>
      <c r="I8" s="26">
        <f>SUM(C8:H8)</f>
        <v/>
      </c>
      <c r="J8" s="26">
        <f>SUMIF(Cases!$D$6:$D$35,$A8,Cases!$G$6:$G$35)</f>
        <v/>
      </c>
    </row>
    <row r="9">
      <c r="A9" s="25">
        <f>Inputs!A28</f>
        <v/>
      </c>
      <c r="B9" s="41">
        <f>Inputs!B28</f>
        <v/>
      </c>
      <c r="C9" s="26">
        <f>SUMIFS(Collect!$D$6:$D$35,Collect!$B$6:$B$35,$A9,Collect!$G$6:$G$35,C$7)</f>
        <v/>
      </c>
      <c r="D9" s="26">
        <f>SUMIFS(Collect!$D$6:$D$35,Collect!$B$6:$B$35,$A9,Collect!$G$6:$G$35,D$7)</f>
        <v/>
      </c>
      <c r="E9" s="26">
        <f>SUMIFS(Collect!$D$6:$D$35,Collect!$B$6:$B$35,$A9,Collect!$G$6:$G$35,E$7)</f>
        <v/>
      </c>
      <c r="F9" s="26">
        <f>SUMIFS(Collect!$D$6:$D$35,Collect!$B$6:$B$35,$A9,Collect!$G$6:$G$35,F$7)</f>
        <v/>
      </c>
      <c r="G9" s="26">
        <f>SUMIFS(Collect!$D$6:$D$35,Collect!$B$6:$B$35,$A9,Collect!$G$6:$G$35,G$7)</f>
        <v/>
      </c>
      <c r="H9" s="26">
        <f>SUMIFS(Collect!$D$6:$D$35,Collect!$B$6:$B$35,$A9,Collect!$G$6:$G$35,H$7)</f>
        <v/>
      </c>
      <c r="I9" s="26">
        <f>SUM(C9:H9)</f>
        <v/>
      </c>
      <c r="J9" s="26">
        <f>SUMIF(Cases!$D$6:$D$35,$A9,Cases!$G$6:$G$35)</f>
        <v/>
      </c>
    </row>
    <row r="10">
      <c r="A10" s="25">
        <f>Inputs!A29</f>
        <v/>
      </c>
      <c r="B10" s="41">
        <f>Inputs!B29</f>
        <v/>
      </c>
      <c r="C10" s="26">
        <f>SUMIFS(Collect!$D$6:$D$35,Collect!$B$6:$B$35,$A10,Collect!$G$6:$G$35,C$7)</f>
        <v/>
      </c>
      <c r="D10" s="26">
        <f>SUMIFS(Collect!$D$6:$D$35,Collect!$B$6:$B$35,$A10,Collect!$G$6:$G$35,D$7)</f>
        <v/>
      </c>
      <c r="E10" s="26">
        <f>SUMIFS(Collect!$D$6:$D$35,Collect!$B$6:$B$35,$A10,Collect!$G$6:$G$35,E$7)</f>
        <v/>
      </c>
      <c r="F10" s="26">
        <f>SUMIFS(Collect!$D$6:$D$35,Collect!$B$6:$B$35,$A10,Collect!$G$6:$G$35,F$7)</f>
        <v/>
      </c>
      <c r="G10" s="26">
        <f>SUMIFS(Collect!$D$6:$D$35,Collect!$B$6:$B$35,$A10,Collect!$G$6:$G$35,G$7)</f>
        <v/>
      </c>
      <c r="H10" s="26">
        <f>SUMIFS(Collect!$D$6:$D$35,Collect!$B$6:$B$35,$A10,Collect!$G$6:$G$35,H$7)</f>
        <v/>
      </c>
      <c r="I10" s="26">
        <f>SUM(C10:H10)</f>
        <v/>
      </c>
      <c r="J10" s="26">
        <f>SUMIF(Cases!$D$6:$D$35,$A10,Cases!$G$6:$G$35)</f>
        <v/>
      </c>
    </row>
    <row r="11">
      <c r="A11" s="25">
        <f>Inputs!A30</f>
        <v/>
      </c>
      <c r="B11" s="41">
        <f>Inputs!B30</f>
        <v/>
      </c>
      <c r="C11" s="26">
        <f>SUMIFS(Collect!$D$6:$D$35,Collect!$B$6:$B$35,$A11,Collect!$G$6:$G$35,C$7)</f>
        <v/>
      </c>
      <c r="D11" s="26">
        <f>SUMIFS(Collect!$D$6:$D$35,Collect!$B$6:$B$35,$A11,Collect!$G$6:$G$35,D$7)</f>
        <v/>
      </c>
      <c r="E11" s="26">
        <f>SUMIFS(Collect!$D$6:$D$35,Collect!$B$6:$B$35,$A11,Collect!$G$6:$G$35,E$7)</f>
        <v/>
      </c>
      <c r="F11" s="26">
        <f>SUMIFS(Collect!$D$6:$D$35,Collect!$B$6:$B$35,$A11,Collect!$G$6:$G$35,F$7)</f>
        <v/>
      </c>
      <c r="G11" s="26">
        <f>SUMIFS(Collect!$D$6:$D$35,Collect!$B$6:$B$35,$A11,Collect!$G$6:$G$35,G$7)</f>
        <v/>
      </c>
      <c r="H11" s="26">
        <f>SUMIFS(Collect!$D$6:$D$35,Collect!$B$6:$B$35,$A11,Collect!$G$6:$G$35,H$7)</f>
        <v/>
      </c>
      <c r="I11" s="26">
        <f>SUM(C11:H11)</f>
        <v/>
      </c>
      <c r="J11" s="26">
        <f>SUMIF(Cases!$D$6:$D$35,$A11,Cases!$G$6:$G$35)</f>
        <v/>
      </c>
    </row>
    <row r="12">
      <c r="A12" s="36" t="inlineStr">
        <is>
          <t>Total collected — actual DSO by system</t>
        </is>
      </c>
      <c r="B12" s="37" t="n"/>
      <c r="C12" s="22">
        <f>SUM(C8:C11)</f>
        <v/>
      </c>
      <c r="D12" s="22">
        <f>SUM(D8:D11)</f>
        <v/>
      </c>
      <c r="E12" s="22">
        <f>SUM(E8:E11)</f>
        <v/>
      </c>
      <c r="F12" s="22">
        <f>SUM(F8:F11)</f>
        <v/>
      </c>
      <c r="G12" s="22">
        <f>SUM(G8:G11)</f>
        <v/>
      </c>
      <c r="H12" s="22">
        <f>SUM(H8:H11)</f>
        <v/>
      </c>
      <c r="I12" s="22">
        <f>SUM(I8:I11)</f>
        <v/>
      </c>
      <c r="J12" s="22">
        <f>SUM(J8:J11)</f>
        <v/>
      </c>
    </row>
    <row r="14">
      <c r="A14" s="7" t="inlineStr">
        <is>
          <t>THE SAME BOOK ON ONE BLENDED DSO</t>
        </is>
      </c>
      <c r="B14" s="8" t="n"/>
      <c r="C14" s="8" t="n"/>
      <c r="D14" s="8" t="n"/>
      <c r="E14" s="8" t="n"/>
      <c r="F14" s="8" t="n"/>
      <c r="G14" s="8" t="n"/>
      <c r="H14" s="8" t="n"/>
      <c r="I14" s="8" t="n"/>
      <c r="J14" s="8" t="n"/>
    </row>
    <row r="15">
      <c r="A15" s="9" t="inlineStr">
        <is>
          <t>Blended DSO (revenue-weighted)</t>
        </is>
      </c>
      <c r="B15" s="42">
        <f>SUMPRODUCT($J$8:$J$11,$B$8:$B$11)/SUM($J$8:$J$11)</f>
        <v/>
      </c>
      <c r="C15" s="11" t="inlineStr">
        <is>
          <t>Correctly computed — and still wrong, because an average has no timing in it.</t>
        </is>
      </c>
    </row>
    <row r="16">
      <c r="A16" s="9" t="inlineStr">
        <is>
          <t>Collections on the blended rate</t>
        </is>
      </c>
      <c r="C16" s="26">
        <f>SUMIFS(Collect!$D$6:$D$35,Collect!$I$6:$I$35,C$7)</f>
        <v/>
      </c>
      <c r="D16" s="26">
        <f>SUMIFS(Collect!$D$6:$D$35,Collect!$I$6:$I$35,D$7)</f>
        <v/>
      </c>
      <c r="E16" s="26">
        <f>SUMIFS(Collect!$D$6:$D$35,Collect!$I$6:$I$35,E$7)</f>
        <v/>
      </c>
      <c r="F16" s="26">
        <f>SUMIFS(Collect!$D$6:$D$35,Collect!$I$6:$I$35,F$7)</f>
        <v/>
      </c>
      <c r="G16" s="26">
        <f>SUMIFS(Collect!$D$6:$D$35,Collect!$I$6:$I$35,G$7)</f>
        <v/>
      </c>
      <c r="H16" s="26">
        <f>SUMIFS(Collect!$D$6:$D$35,Collect!$I$6:$I$35,H$7)</f>
        <v/>
      </c>
      <c r="I16" s="26">
        <f>SUM(C16:H16)</f>
        <v/>
      </c>
    </row>
    <row r="17">
      <c r="A17" s="36" t="inlineStr">
        <is>
          <t>Difference — blended less actual</t>
        </is>
      </c>
      <c r="B17" s="37" t="n"/>
      <c r="C17" s="22">
        <f>C16-C12</f>
        <v/>
      </c>
      <c r="D17" s="22">
        <f>D16-D12</f>
        <v/>
      </c>
      <c r="E17" s="22">
        <f>E16-E12</f>
        <v/>
      </c>
      <c r="F17" s="22">
        <f>F16-F12</f>
        <v/>
      </c>
      <c r="G17" s="22">
        <f>G16-G12</f>
        <v/>
      </c>
      <c r="H17" s="22">
        <f>H16-H12</f>
        <v/>
      </c>
      <c r="I17" s="22">
        <f>SUM(C17:H17)</f>
        <v/>
      </c>
    </row>
    <row r="18">
      <c r="A18" s="9" t="inlineStr">
        <is>
          <t xml:space="preserve">    Size of the error, whichever way it goes</t>
        </is>
      </c>
      <c r="C18" s="26">
        <f>ABS(C17)</f>
        <v/>
      </c>
      <c r="D18" s="26">
        <f>ABS(D17)</f>
        <v/>
      </c>
      <c r="E18" s="26">
        <f>ABS(E17)</f>
        <v/>
      </c>
      <c r="F18" s="26">
        <f>ABS(F17)</f>
        <v/>
      </c>
      <c r="G18" s="26">
        <f>ABS(G17)</f>
        <v/>
      </c>
      <c r="H18" s="26">
        <f>ABS(H17)</f>
        <v/>
      </c>
    </row>
    <row r="19">
      <c r="A19" s="9" t="inlineStr">
        <is>
          <t>Cumulative difference</t>
        </is>
      </c>
      <c r="C19" s="26">
        <f>C17</f>
        <v/>
      </c>
      <c r="D19" s="26">
        <f>C19+D17</f>
        <v/>
      </c>
      <c r="E19" s="26">
        <f>D19+E17</f>
        <v/>
      </c>
      <c r="F19" s="26">
        <f>E19+F17</f>
        <v/>
      </c>
      <c r="G19" s="26">
        <f>F19+G17</f>
        <v/>
      </c>
      <c r="H19" s="26">
        <f>G19+H17</f>
        <v/>
      </c>
    </row>
    <row r="20">
      <c r="A20" s="9" t="inlineStr">
        <is>
          <t>Still outstanding at the last month end — on the blended clock</t>
        </is>
      </c>
      <c r="I20" s="26">
        <f>SUMIFS(Collect!$D$6:$D$35,Collect!$I$6:$I$35,"&gt;"&amp;H7)</f>
        <v/>
      </c>
    </row>
    <row r="22">
      <c r="A22" s="7" t="inlineStr">
        <is>
          <t>WHAT THE BLEND COSTS YOU</t>
        </is>
      </c>
      <c r="B22" s="8" t="n"/>
      <c r="C22" s="8" t="n"/>
      <c r="D22" s="8" t="n"/>
      <c r="E22" s="8" t="n"/>
      <c r="F22" s="8" t="n"/>
      <c r="G22" s="8" t="n"/>
      <c r="H22" s="8" t="n"/>
      <c r="I22" s="8" t="n"/>
      <c r="J22" s="8" t="n"/>
    </row>
    <row r="23">
      <c r="A23" s="38" t="inlineStr">
        <is>
          <t>WORST MONTH THE BLEND GETS WRONG</t>
        </is>
      </c>
      <c r="D23" s="38" t="inlineStr">
        <is>
          <t>AND THAT MONTH IS</t>
        </is>
      </c>
      <c r="G23" s="38" t="inlineStr">
        <is>
          <t>STILL OUTSTANDING AT THE LAST MONTH END</t>
        </is>
      </c>
    </row>
    <row r="24">
      <c r="A24" s="39">
        <f>MAX(C18:H18)</f>
        <v/>
      </c>
      <c r="D24" s="43">
        <f>INDEX(C$6:H$6,MATCH(MAX(C18:H18),C18:H18,0))</f>
        <v/>
      </c>
      <c r="G24" s="40">
        <f>SUMIFS(Collect!$D$6:$D$35,Collect!$G$6:$G$35,"&gt;"&amp;H7)</f>
        <v/>
      </c>
    </row>
    <row r="26">
      <c r="A26" s="11" t="inlineStr">
        <is>
          <t>Both methods collect the same money in the end. Only one of them tells you which month it lands in, and the month is the only part payroll cares about.</t>
        </is>
      </c>
    </row>
    <row r="28">
      <c r="A28" s="5" t="n"/>
      <c r="B28" s="5" t="n"/>
      <c r="C28" s="5" t="n"/>
      <c r="D28" s="5" t="n"/>
      <c r="E28" s="5" t="n"/>
      <c r="F28" s="5" t="n"/>
      <c r="G28" s="5" t="n"/>
      <c r="H28" s="5" t="n"/>
      <c r="I28" s="5" t="n"/>
      <c r="J28" s="5" t="n"/>
    </row>
    <row r="29">
      <c r="A29" s="6" t="inlineStr">
        <is>
          <t>Spreadsheet Studio template v1.0  ·  built for this client, formulas live</t>
        </is>
      </c>
    </row>
  </sheetData>
  <pageMargins left="0.75" right="0.75" top="1" bottom="1" header="0.5" footer="0.5"/>
  <pageSetup orientation="landscape" fitToWidth="1"/>
</worksheet>
</file>

<file path=xl/worksheets/sheet7.xml><?xml version="1.0" encoding="utf-8"?>
<worksheet xmlns="http://schemas.openxmlformats.org/spreadsheetml/2006/main">
  <sheetPr>
    <tabColor rgb="001F6F4A"/>
    <outlinePr summaryBelow="1" summaryRight="1"/>
    <pageSetUpPr fitToPage="1"/>
  </sheetPr>
  <dimension ref="A2:I42"/>
  <sheetViews>
    <sheetView showGridLines="0" zoomScale="110" workbookViewId="0">
      <pane xSplit="2" ySplit="5" topLeftCell="C6" activePane="bottomRight" state="frozen"/>
      <selection pane="topRight"/>
      <selection pane="bottomLeft"/>
      <selection pane="bottomRight" activeCell="A1" sqref="A1"/>
    </sheetView>
  </sheetViews>
  <sheetFormatPr baseColWidth="8" defaultRowHeight="15"/>
  <cols>
    <col width="11" customWidth="1" min="1" max="1"/>
    <col width="32" customWidth="1" min="2" max="2"/>
    <col width="13" customWidth="1" min="3" max="3"/>
    <col width="14" customWidth="1" min="4" max="4"/>
    <col width="12" customWidth="1" min="5" max="5"/>
    <col width="12" customWidth="1" min="6" max="6"/>
    <col width="13" customWidth="1" min="7" max="7"/>
    <col width="16" customWidth="1" min="8" max="8"/>
    <col width="15" customWidth="1" min="9" max="9"/>
  </cols>
  <sheetData>
    <row r="2">
      <c r="A2" s="1">
        <f>Client_Name&amp;" — when each invoice turns into cash"</f>
        <v/>
      </c>
    </row>
    <row r="3">
      <c r="A3" s="2" t="inlineStr">
        <is>
          <t>One row per invoice. The days come from the hospital that owes the money, not from an average of all of them.</t>
        </is>
      </c>
    </row>
    <row r="5">
      <c r="A5" s="17" t="inlineStr">
        <is>
          <t>Case ID</t>
        </is>
      </c>
      <c r="B5" s="17" t="inlineStr">
        <is>
          <t>Health system</t>
        </is>
      </c>
      <c r="C5" s="17" t="inlineStr">
        <is>
          <t>Invoice date</t>
        </is>
      </c>
      <c r="D5" s="17" t="inlineStr">
        <is>
          <t>Net revenue</t>
        </is>
      </c>
      <c r="E5" s="17" t="inlineStr">
        <is>
          <t>DSO (days)</t>
        </is>
      </c>
      <c r="F5" s="17" t="inlineStr">
        <is>
          <t>Cash date</t>
        </is>
      </c>
      <c r="G5" s="17" t="inlineStr">
        <is>
          <t>Cash month</t>
        </is>
      </c>
      <c r="H5" s="17" t="inlineStr">
        <is>
          <t>Blended cash date</t>
        </is>
      </c>
      <c r="I5" s="17" t="inlineStr">
        <is>
          <t>Blended month</t>
        </is>
      </c>
    </row>
    <row r="6">
      <c r="A6" s="23">
        <f>Cases!A6</f>
        <v/>
      </c>
      <c r="B6" s="25">
        <f>Cases!D6</f>
        <v/>
      </c>
      <c r="C6" s="24">
        <f>Cases!F6</f>
        <v/>
      </c>
      <c r="D6" s="26">
        <f>Cases!G6</f>
        <v/>
      </c>
      <c r="E6" s="41">
        <f>IFERROR(INDEX(Sys_DSO,MATCH(B6,Sys_Names,0)),0)</f>
        <v/>
      </c>
      <c r="F6" s="24">
        <f>C6+E6</f>
        <v/>
      </c>
      <c r="G6" s="31">
        <f>YEAR(F6)*12+MONTH(F6)</f>
        <v/>
      </c>
      <c r="H6" s="24">
        <f>C6+DSO_Blended</f>
        <v/>
      </c>
      <c r="I6" s="31">
        <f>YEAR(H6)*12+MONTH(H6)</f>
        <v/>
      </c>
    </row>
    <row r="7">
      <c r="A7" s="23">
        <f>Cases!A7</f>
        <v/>
      </c>
      <c r="B7" s="25">
        <f>Cases!D7</f>
        <v/>
      </c>
      <c r="C7" s="24">
        <f>Cases!F7</f>
        <v/>
      </c>
      <c r="D7" s="26">
        <f>Cases!G7</f>
        <v/>
      </c>
      <c r="E7" s="41">
        <f>IFERROR(INDEX(Sys_DSO,MATCH(B7,Sys_Names,0)),0)</f>
        <v/>
      </c>
      <c r="F7" s="24">
        <f>C7+E7</f>
        <v/>
      </c>
      <c r="G7" s="31">
        <f>YEAR(F7)*12+MONTH(F7)</f>
        <v/>
      </c>
      <c r="H7" s="24">
        <f>C7+DSO_Blended</f>
        <v/>
      </c>
      <c r="I7" s="31">
        <f>YEAR(H7)*12+MONTH(H7)</f>
        <v/>
      </c>
    </row>
    <row r="8">
      <c r="A8" s="23">
        <f>Cases!A8</f>
        <v/>
      </c>
      <c r="B8" s="25">
        <f>Cases!D8</f>
        <v/>
      </c>
      <c r="C8" s="24">
        <f>Cases!F8</f>
        <v/>
      </c>
      <c r="D8" s="26">
        <f>Cases!G8</f>
        <v/>
      </c>
      <c r="E8" s="41">
        <f>IFERROR(INDEX(Sys_DSO,MATCH(B8,Sys_Names,0)),0)</f>
        <v/>
      </c>
      <c r="F8" s="24">
        <f>C8+E8</f>
        <v/>
      </c>
      <c r="G8" s="31">
        <f>YEAR(F8)*12+MONTH(F8)</f>
        <v/>
      </c>
      <c r="H8" s="24">
        <f>C8+DSO_Blended</f>
        <v/>
      </c>
      <c r="I8" s="31">
        <f>YEAR(H8)*12+MONTH(H8)</f>
        <v/>
      </c>
    </row>
    <row r="9">
      <c r="A9" s="23">
        <f>Cases!A9</f>
        <v/>
      </c>
      <c r="B9" s="25">
        <f>Cases!D9</f>
        <v/>
      </c>
      <c r="C9" s="24">
        <f>Cases!F9</f>
        <v/>
      </c>
      <c r="D9" s="26">
        <f>Cases!G9</f>
        <v/>
      </c>
      <c r="E9" s="41">
        <f>IFERROR(INDEX(Sys_DSO,MATCH(B9,Sys_Names,0)),0)</f>
        <v/>
      </c>
      <c r="F9" s="24">
        <f>C9+E9</f>
        <v/>
      </c>
      <c r="G9" s="31">
        <f>YEAR(F9)*12+MONTH(F9)</f>
        <v/>
      </c>
      <c r="H9" s="24">
        <f>C9+DSO_Blended</f>
        <v/>
      </c>
      <c r="I9" s="31">
        <f>YEAR(H9)*12+MONTH(H9)</f>
        <v/>
      </c>
    </row>
    <row r="10">
      <c r="A10" s="23">
        <f>Cases!A10</f>
        <v/>
      </c>
      <c r="B10" s="25">
        <f>Cases!D10</f>
        <v/>
      </c>
      <c r="C10" s="24">
        <f>Cases!F10</f>
        <v/>
      </c>
      <c r="D10" s="26">
        <f>Cases!G10</f>
        <v/>
      </c>
      <c r="E10" s="41">
        <f>IFERROR(INDEX(Sys_DSO,MATCH(B10,Sys_Names,0)),0)</f>
        <v/>
      </c>
      <c r="F10" s="24">
        <f>C10+E10</f>
        <v/>
      </c>
      <c r="G10" s="31">
        <f>YEAR(F10)*12+MONTH(F10)</f>
        <v/>
      </c>
      <c r="H10" s="24">
        <f>C10+DSO_Blended</f>
        <v/>
      </c>
      <c r="I10" s="31">
        <f>YEAR(H10)*12+MONTH(H10)</f>
        <v/>
      </c>
    </row>
    <row r="11">
      <c r="A11" s="23">
        <f>Cases!A11</f>
        <v/>
      </c>
      <c r="B11" s="25">
        <f>Cases!D11</f>
        <v/>
      </c>
      <c r="C11" s="24">
        <f>Cases!F11</f>
        <v/>
      </c>
      <c r="D11" s="26">
        <f>Cases!G11</f>
        <v/>
      </c>
      <c r="E11" s="41">
        <f>IFERROR(INDEX(Sys_DSO,MATCH(B11,Sys_Names,0)),0)</f>
        <v/>
      </c>
      <c r="F11" s="24">
        <f>C11+E11</f>
        <v/>
      </c>
      <c r="G11" s="31">
        <f>YEAR(F11)*12+MONTH(F11)</f>
        <v/>
      </c>
      <c r="H11" s="24">
        <f>C11+DSO_Blended</f>
        <v/>
      </c>
      <c r="I11" s="31">
        <f>YEAR(H11)*12+MONTH(H11)</f>
        <v/>
      </c>
    </row>
    <row r="12">
      <c r="A12" s="23">
        <f>Cases!A12</f>
        <v/>
      </c>
      <c r="B12" s="25">
        <f>Cases!D12</f>
        <v/>
      </c>
      <c r="C12" s="24">
        <f>Cases!F12</f>
        <v/>
      </c>
      <c r="D12" s="26">
        <f>Cases!G12</f>
        <v/>
      </c>
      <c r="E12" s="41">
        <f>IFERROR(INDEX(Sys_DSO,MATCH(B12,Sys_Names,0)),0)</f>
        <v/>
      </c>
      <c r="F12" s="24">
        <f>C12+E12</f>
        <v/>
      </c>
      <c r="G12" s="31">
        <f>YEAR(F12)*12+MONTH(F12)</f>
        <v/>
      </c>
      <c r="H12" s="24">
        <f>C12+DSO_Blended</f>
        <v/>
      </c>
      <c r="I12" s="31">
        <f>YEAR(H12)*12+MONTH(H12)</f>
        <v/>
      </c>
    </row>
    <row r="13">
      <c r="A13" s="23">
        <f>Cases!A13</f>
        <v/>
      </c>
      <c r="B13" s="25">
        <f>Cases!D13</f>
        <v/>
      </c>
      <c r="C13" s="24">
        <f>Cases!F13</f>
        <v/>
      </c>
      <c r="D13" s="26">
        <f>Cases!G13</f>
        <v/>
      </c>
      <c r="E13" s="41">
        <f>IFERROR(INDEX(Sys_DSO,MATCH(B13,Sys_Names,0)),0)</f>
        <v/>
      </c>
      <c r="F13" s="24">
        <f>C13+E13</f>
        <v/>
      </c>
      <c r="G13" s="31">
        <f>YEAR(F13)*12+MONTH(F13)</f>
        <v/>
      </c>
      <c r="H13" s="24">
        <f>C13+DSO_Blended</f>
        <v/>
      </c>
      <c r="I13" s="31">
        <f>YEAR(H13)*12+MONTH(H13)</f>
        <v/>
      </c>
    </row>
    <row r="14">
      <c r="A14" s="23">
        <f>Cases!A14</f>
        <v/>
      </c>
      <c r="B14" s="25">
        <f>Cases!D14</f>
        <v/>
      </c>
      <c r="C14" s="24">
        <f>Cases!F14</f>
        <v/>
      </c>
      <c r="D14" s="26">
        <f>Cases!G14</f>
        <v/>
      </c>
      <c r="E14" s="41">
        <f>IFERROR(INDEX(Sys_DSO,MATCH(B14,Sys_Names,0)),0)</f>
        <v/>
      </c>
      <c r="F14" s="24">
        <f>C14+E14</f>
        <v/>
      </c>
      <c r="G14" s="31">
        <f>YEAR(F14)*12+MONTH(F14)</f>
        <v/>
      </c>
      <c r="H14" s="24">
        <f>C14+DSO_Blended</f>
        <v/>
      </c>
      <c r="I14" s="31">
        <f>YEAR(H14)*12+MONTH(H14)</f>
        <v/>
      </c>
    </row>
    <row r="15">
      <c r="A15" s="23">
        <f>Cases!A15</f>
        <v/>
      </c>
      <c r="B15" s="25">
        <f>Cases!D15</f>
        <v/>
      </c>
      <c r="C15" s="24">
        <f>Cases!F15</f>
        <v/>
      </c>
      <c r="D15" s="26">
        <f>Cases!G15</f>
        <v/>
      </c>
      <c r="E15" s="41">
        <f>IFERROR(INDEX(Sys_DSO,MATCH(B15,Sys_Names,0)),0)</f>
        <v/>
      </c>
      <c r="F15" s="24">
        <f>C15+E15</f>
        <v/>
      </c>
      <c r="G15" s="31">
        <f>YEAR(F15)*12+MONTH(F15)</f>
        <v/>
      </c>
      <c r="H15" s="24">
        <f>C15+DSO_Blended</f>
        <v/>
      </c>
      <c r="I15" s="31">
        <f>YEAR(H15)*12+MONTH(H15)</f>
        <v/>
      </c>
    </row>
    <row r="16">
      <c r="A16" s="23">
        <f>Cases!A16</f>
        <v/>
      </c>
      <c r="B16" s="25">
        <f>Cases!D16</f>
        <v/>
      </c>
      <c r="C16" s="24">
        <f>Cases!F16</f>
        <v/>
      </c>
      <c r="D16" s="26">
        <f>Cases!G16</f>
        <v/>
      </c>
      <c r="E16" s="41">
        <f>IFERROR(INDEX(Sys_DSO,MATCH(B16,Sys_Names,0)),0)</f>
        <v/>
      </c>
      <c r="F16" s="24">
        <f>C16+E16</f>
        <v/>
      </c>
      <c r="G16" s="31">
        <f>YEAR(F16)*12+MONTH(F16)</f>
        <v/>
      </c>
      <c r="H16" s="24">
        <f>C16+DSO_Blended</f>
        <v/>
      </c>
      <c r="I16" s="31">
        <f>YEAR(H16)*12+MONTH(H16)</f>
        <v/>
      </c>
    </row>
    <row r="17">
      <c r="A17" s="23">
        <f>Cases!A17</f>
        <v/>
      </c>
      <c r="B17" s="25">
        <f>Cases!D17</f>
        <v/>
      </c>
      <c r="C17" s="24">
        <f>Cases!F17</f>
        <v/>
      </c>
      <c r="D17" s="26">
        <f>Cases!G17</f>
        <v/>
      </c>
      <c r="E17" s="41">
        <f>IFERROR(INDEX(Sys_DSO,MATCH(B17,Sys_Names,0)),0)</f>
        <v/>
      </c>
      <c r="F17" s="24">
        <f>C17+E17</f>
        <v/>
      </c>
      <c r="G17" s="31">
        <f>YEAR(F17)*12+MONTH(F17)</f>
        <v/>
      </c>
      <c r="H17" s="24">
        <f>C17+DSO_Blended</f>
        <v/>
      </c>
      <c r="I17" s="31">
        <f>YEAR(H17)*12+MONTH(H17)</f>
        <v/>
      </c>
    </row>
    <row r="18">
      <c r="A18" s="23">
        <f>Cases!A18</f>
        <v/>
      </c>
      <c r="B18" s="25">
        <f>Cases!D18</f>
        <v/>
      </c>
      <c r="C18" s="24">
        <f>Cases!F18</f>
        <v/>
      </c>
      <c r="D18" s="26">
        <f>Cases!G18</f>
        <v/>
      </c>
      <c r="E18" s="41">
        <f>IFERROR(INDEX(Sys_DSO,MATCH(B18,Sys_Names,0)),0)</f>
        <v/>
      </c>
      <c r="F18" s="24">
        <f>C18+E18</f>
        <v/>
      </c>
      <c r="G18" s="31">
        <f>YEAR(F18)*12+MONTH(F18)</f>
        <v/>
      </c>
      <c r="H18" s="24">
        <f>C18+DSO_Blended</f>
        <v/>
      </c>
      <c r="I18" s="31">
        <f>YEAR(H18)*12+MONTH(H18)</f>
        <v/>
      </c>
    </row>
    <row r="19">
      <c r="A19" s="23">
        <f>Cases!A19</f>
        <v/>
      </c>
      <c r="B19" s="25">
        <f>Cases!D19</f>
        <v/>
      </c>
      <c r="C19" s="24">
        <f>Cases!F19</f>
        <v/>
      </c>
      <c r="D19" s="26">
        <f>Cases!G19</f>
        <v/>
      </c>
      <c r="E19" s="41">
        <f>IFERROR(INDEX(Sys_DSO,MATCH(B19,Sys_Names,0)),0)</f>
        <v/>
      </c>
      <c r="F19" s="24">
        <f>C19+E19</f>
        <v/>
      </c>
      <c r="G19" s="31">
        <f>YEAR(F19)*12+MONTH(F19)</f>
        <v/>
      </c>
      <c r="H19" s="24">
        <f>C19+DSO_Blended</f>
        <v/>
      </c>
      <c r="I19" s="31">
        <f>YEAR(H19)*12+MONTH(H19)</f>
        <v/>
      </c>
    </row>
    <row r="20">
      <c r="A20" s="23">
        <f>Cases!A20</f>
        <v/>
      </c>
      <c r="B20" s="25">
        <f>Cases!D20</f>
        <v/>
      </c>
      <c r="C20" s="24">
        <f>Cases!F20</f>
        <v/>
      </c>
      <c r="D20" s="26">
        <f>Cases!G20</f>
        <v/>
      </c>
      <c r="E20" s="41">
        <f>IFERROR(INDEX(Sys_DSO,MATCH(B20,Sys_Names,0)),0)</f>
        <v/>
      </c>
      <c r="F20" s="24">
        <f>C20+E20</f>
        <v/>
      </c>
      <c r="G20" s="31">
        <f>YEAR(F20)*12+MONTH(F20)</f>
        <v/>
      </c>
      <c r="H20" s="24">
        <f>C20+DSO_Blended</f>
        <v/>
      </c>
      <c r="I20" s="31">
        <f>YEAR(H20)*12+MONTH(H20)</f>
        <v/>
      </c>
    </row>
    <row r="21">
      <c r="A21" s="23">
        <f>Cases!A21</f>
        <v/>
      </c>
      <c r="B21" s="25">
        <f>Cases!D21</f>
        <v/>
      </c>
      <c r="C21" s="24">
        <f>Cases!F21</f>
        <v/>
      </c>
      <c r="D21" s="26">
        <f>Cases!G21</f>
        <v/>
      </c>
      <c r="E21" s="41">
        <f>IFERROR(INDEX(Sys_DSO,MATCH(B21,Sys_Names,0)),0)</f>
        <v/>
      </c>
      <c r="F21" s="24">
        <f>C21+E21</f>
        <v/>
      </c>
      <c r="G21" s="31">
        <f>YEAR(F21)*12+MONTH(F21)</f>
        <v/>
      </c>
      <c r="H21" s="24">
        <f>C21+DSO_Blended</f>
        <v/>
      </c>
      <c r="I21" s="31">
        <f>YEAR(H21)*12+MONTH(H21)</f>
        <v/>
      </c>
    </row>
    <row r="22">
      <c r="A22" s="23">
        <f>Cases!A22</f>
        <v/>
      </c>
      <c r="B22" s="25">
        <f>Cases!D22</f>
        <v/>
      </c>
      <c r="C22" s="24">
        <f>Cases!F22</f>
        <v/>
      </c>
      <c r="D22" s="26">
        <f>Cases!G22</f>
        <v/>
      </c>
      <c r="E22" s="41">
        <f>IFERROR(INDEX(Sys_DSO,MATCH(B22,Sys_Names,0)),0)</f>
        <v/>
      </c>
      <c r="F22" s="24">
        <f>C22+E22</f>
        <v/>
      </c>
      <c r="G22" s="31">
        <f>YEAR(F22)*12+MONTH(F22)</f>
        <v/>
      </c>
      <c r="H22" s="24">
        <f>C22+DSO_Blended</f>
        <v/>
      </c>
      <c r="I22" s="31">
        <f>YEAR(H22)*12+MONTH(H22)</f>
        <v/>
      </c>
    </row>
    <row r="23">
      <c r="A23" s="23">
        <f>Cases!A23</f>
        <v/>
      </c>
      <c r="B23" s="25">
        <f>Cases!D23</f>
        <v/>
      </c>
      <c r="C23" s="24">
        <f>Cases!F23</f>
        <v/>
      </c>
      <c r="D23" s="26">
        <f>Cases!G23</f>
        <v/>
      </c>
      <c r="E23" s="41">
        <f>IFERROR(INDEX(Sys_DSO,MATCH(B23,Sys_Names,0)),0)</f>
        <v/>
      </c>
      <c r="F23" s="24">
        <f>C23+E23</f>
        <v/>
      </c>
      <c r="G23" s="31">
        <f>YEAR(F23)*12+MONTH(F23)</f>
        <v/>
      </c>
      <c r="H23" s="24">
        <f>C23+DSO_Blended</f>
        <v/>
      </c>
      <c r="I23" s="31">
        <f>YEAR(H23)*12+MONTH(H23)</f>
        <v/>
      </c>
    </row>
    <row r="24">
      <c r="A24" s="23">
        <f>Cases!A24</f>
        <v/>
      </c>
      <c r="B24" s="25">
        <f>Cases!D24</f>
        <v/>
      </c>
      <c r="C24" s="24">
        <f>Cases!F24</f>
        <v/>
      </c>
      <c r="D24" s="26">
        <f>Cases!G24</f>
        <v/>
      </c>
      <c r="E24" s="41">
        <f>IFERROR(INDEX(Sys_DSO,MATCH(B24,Sys_Names,0)),0)</f>
        <v/>
      </c>
      <c r="F24" s="24">
        <f>C24+E24</f>
        <v/>
      </c>
      <c r="G24" s="31">
        <f>YEAR(F24)*12+MONTH(F24)</f>
        <v/>
      </c>
      <c r="H24" s="24">
        <f>C24+DSO_Blended</f>
        <v/>
      </c>
      <c r="I24" s="31">
        <f>YEAR(H24)*12+MONTH(H24)</f>
        <v/>
      </c>
    </row>
    <row r="25">
      <c r="A25" s="23">
        <f>Cases!A25</f>
        <v/>
      </c>
      <c r="B25" s="25">
        <f>Cases!D25</f>
        <v/>
      </c>
      <c r="C25" s="24">
        <f>Cases!F25</f>
        <v/>
      </c>
      <c r="D25" s="26">
        <f>Cases!G25</f>
        <v/>
      </c>
      <c r="E25" s="41">
        <f>IFERROR(INDEX(Sys_DSO,MATCH(B25,Sys_Names,0)),0)</f>
        <v/>
      </c>
      <c r="F25" s="24">
        <f>C25+E25</f>
        <v/>
      </c>
      <c r="G25" s="31">
        <f>YEAR(F25)*12+MONTH(F25)</f>
        <v/>
      </c>
      <c r="H25" s="24">
        <f>C25+DSO_Blended</f>
        <v/>
      </c>
      <c r="I25" s="31">
        <f>YEAR(H25)*12+MONTH(H25)</f>
        <v/>
      </c>
    </row>
    <row r="26">
      <c r="A26" s="23">
        <f>Cases!A26</f>
        <v/>
      </c>
      <c r="B26" s="25">
        <f>Cases!D26</f>
        <v/>
      </c>
      <c r="C26" s="24">
        <f>Cases!F26</f>
        <v/>
      </c>
      <c r="D26" s="26">
        <f>Cases!G26</f>
        <v/>
      </c>
      <c r="E26" s="41">
        <f>IFERROR(INDEX(Sys_DSO,MATCH(B26,Sys_Names,0)),0)</f>
        <v/>
      </c>
      <c r="F26" s="24">
        <f>C26+E26</f>
        <v/>
      </c>
      <c r="G26" s="31">
        <f>YEAR(F26)*12+MONTH(F26)</f>
        <v/>
      </c>
      <c r="H26" s="24">
        <f>C26+DSO_Blended</f>
        <v/>
      </c>
      <c r="I26" s="31">
        <f>YEAR(H26)*12+MONTH(H26)</f>
        <v/>
      </c>
    </row>
    <row r="27">
      <c r="A27" s="23">
        <f>Cases!A27</f>
        <v/>
      </c>
      <c r="B27" s="25">
        <f>Cases!D27</f>
        <v/>
      </c>
      <c r="C27" s="24">
        <f>Cases!F27</f>
        <v/>
      </c>
      <c r="D27" s="26">
        <f>Cases!G27</f>
        <v/>
      </c>
      <c r="E27" s="41">
        <f>IFERROR(INDEX(Sys_DSO,MATCH(B27,Sys_Names,0)),0)</f>
        <v/>
      </c>
      <c r="F27" s="24">
        <f>C27+E27</f>
        <v/>
      </c>
      <c r="G27" s="31">
        <f>YEAR(F27)*12+MONTH(F27)</f>
        <v/>
      </c>
      <c r="H27" s="24">
        <f>C27+DSO_Blended</f>
        <v/>
      </c>
      <c r="I27" s="31">
        <f>YEAR(H27)*12+MONTH(H27)</f>
        <v/>
      </c>
    </row>
    <row r="28">
      <c r="A28" s="23">
        <f>Cases!A28</f>
        <v/>
      </c>
      <c r="B28" s="25">
        <f>Cases!D28</f>
        <v/>
      </c>
      <c r="C28" s="24">
        <f>Cases!F28</f>
        <v/>
      </c>
      <c r="D28" s="26">
        <f>Cases!G28</f>
        <v/>
      </c>
      <c r="E28" s="41">
        <f>IFERROR(INDEX(Sys_DSO,MATCH(B28,Sys_Names,0)),0)</f>
        <v/>
      </c>
      <c r="F28" s="24">
        <f>C28+E28</f>
        <v/>
      </c>
      <c r="G28" s="31">
        <f>YEAR(F28)*12+MONTH(F28)</f>
        <v/>
      </c>
      <c r="H28" s="24">
        <f>C28+DSO_Blended</f>
        <v/>
      </c>
      <c r="I28" s="31">
        <f>YEAR(H28)*12+MONTH(H28)</f>
        <v/>
      </c>
    </row>
    <row r="29">
      <c r="A29" s="23">
        <f>Cases!A29</f>
        <v/>
      </c>
      <c r="B29" s="25">
        <f>Cases!D29</f>
        <v/>
      </c>
      <c r="C29" s="24">
        <f>Cases!F29</f>
        <v/>
      </c>
      <c r="D29" s="26">
        <f>Cases!G29</f>
        <v/>
      </c>
      <c r="E29" s="41">
        <f>IFERROR(INDEX(Sys_DSO,MATCH(B29,Sys_Names,0)),0)</f>
        <v/>
      </c>
      <c r="F29" s="24">
        <f>C29+E29</f>
        <v/>
      </c>
      <c r="G29" s="31">
        <f>YEAR(F29)*12+MONTH(F29)</f>
        <v/>
      </c>
      <c r="H29" s="24">
        <f>C29+DSO_Blended</f>
        <v/>
      </c>
      <c r="I29" s="31">
        <f>YEAR(H29)*12+MONTH(H29)</f>
        <v/>
      </c>
    </row>
    <row r="30">
      <c r="A30" s="23">
        <f>Cases!A30</f>
        <v/>
      </c>
      <c r="B30" s="25">
        <f>Cases!D30</f>
        <v/>
      </c>
      <c r="C30" s="24">
        <f>Cases!F30</f>
        <v/>
      </c>
      <c r="D30" s="26">
        <f>Cases!G30</f>
        <v/>
      </c>
      <c r="E30" s="41">
        <f>IFERROR(INDEX(Sys_DSO,MATCH(B30,Sys_Names,0)),0)</f>
        <v/>
      </c>
      <c r="F30" s="24">
        <f>C30+E30</f>
        <v/>
      </c>
      <c r="G30" s="31">
        <f>YEAR(F30)*12+MONTH(F30)</f>
        <v/>
      </c>
      <c r="H30" s="24">
        <f>C30+DSO_Blended</f>
        <v/>
      </c>
      <c r="I30" s="31">
        <f>YEAR(H30)*12+MONTH(H30)</f>
        <v/>
      </c>
    </row>
    <row r="31">
      <c r="A31" s="23">
        <f>Cases!A31</f>
        <v/>
      </c>
      <c r="B31" s="25">
        <f>Cases!D31</f>
        <v/>
      </c>
      <c r="C31" s="24">
        <f>Cases!F31</f>
        <v/>
      </c>
      <c r="D31" s="26">
        <f>Cases!G31</f>
        <v/>
      </c>
      <c r="E31" s="41">
        <f>IFERROR(INDEX(Sys_DSO,MATCH(B31,Sys_Names,0)),0)</f>
        <v/>
      </c>
      <c r="F31" s="24">
        <f>C31+E31</f>
        <v/>
      </c>
      <c r="G31" s="31">
        <f>YEAR(F31)*12+MONTH(F31)</f>
        <v/>
      </c>
      <c r="H31" s="24">
        <f>C31+DSO_Blended</f>
        <v/>
      </c>
      <c r="I31" s="31">
        <f>YEAR(H31)*12+MONTH(H31)</f>
        <v/>
      </c>
    </row>
    <row r="32">
      <c r="A32" s="23">
        <f>Cases!A32</f>
        <v/>
      </c>
      <c r="B32" s="25">
        <f>Cases!D32</f>
        <v/>
      </c>
      <c r="C32" s="24">
        <f>Cases!F32</f>
        <v/>
      </c>
      <c r="D32" s="26">
        <f>Cases!G32</f>
        <v/>
      </c>
      <c r="E32" s="41">
        <f>IFERROR(INDEX(Sys_DSO,MATCH(B32,Sys_Names,0)),0)</f>
        <v/>
      </c>
      <c r="F32" s="24">
        <f>C32+E32</f>
        <v/>
      </c>
      <c r="G32" s="31">
        <f>YEAR(F32)*12+MONTH(F32)</f>
        <v/>
      </c>
      <c r="H32" s="24">
        <f>C32+DSO_Blended</f>
        <v/>
      </c>
      <c r="I32" s="31">
        <f>YEAR(H32)*12+MONTH(H32)</f>
        <v/>
      </c>
    </row>
    <row r="33">
      <c r="A33" s="23">
        <f>Cases!A33</f>
        <v/>
      </c>
      <c r="B33" s="25">
        <f>Cases!D33</f>
        <v/>
      </c>
      <c r="C33" s="24">
        <f>Cases!F33</f>
        <v/>
      </c>
      <c r="D33" s="26">
        <f>Cases!G33</f>
        <v/>
      </c>
      <c r="E33" s="41">
        <f>IFERROR(INDEX(Sys_DSO,MATCH(B33,Sys_Names,0)),0)</f>
        <v/>
      </c>
      <c r="F33" s="24">
        <f>C33+E33</f>
        <v/>
      </c>
      <c r="G33" s="31">
        <f>YEAR(F33)*12+MONTH(F33)</f>
        <v/>
      </c>
      <c r="H33" s="24">
        <f>C33+DSO_Blended</f>
        <v/>
      </c>
      <c r="I33" s="31">
        <f>YEAR(H33)*12+MONTH(H33)</f>
        <v/>
      </c>
    </row>
    <row r="34">
      <c r="A34" s="23">
        <f>Cases!A34</f>
        <v/>
      </c>
      <c r="B34" s="25">
        <f>Cases!D34</f>
        <v/>
      </c>
      <c r="C34" s="24">
        <f>Cases!F34</f>
        <v/>
      </c>
      <c r="D34" s="26">
        <f>Cases!G34</f>
        <v/>
      </c>
      <c r="E34" s="41">
        <f>IFERROR(INDEX(Sys_DSO,MATCH(B34,Sys_Names,0)),0)</f>
        <v/>
      </c>
      <c r="F34" s="24">
        <f>C34+E34</f>
        <v/>
      </c>
      <c r="G34" s="31">
        <f>YEAR(F34)*12+MONTH(F34)</f>
        <v/>
      </c>
      <c r="H34" s="24">
        <f>C34+DSO_Blended</f>
        <v/>
      </c>
      <c r="I34" s="31">
        <f>YEAR(H34)*12+MONTH(H34)</f>
        <v/>
      </c>
    </row>
    <row r="35">
      <c r="A35" s="23">
        <f>Cases!A35</f>
        <v/>
      </c>
      <c r="B35" s="25">
        <f>Cases!D35</f>
        <v/>
      </c>
      <c r="C35" s="24">
        <f>Cases!F35</f>
        <v/>
      </c>
      <c r="D35" s="26">
        <f>Cases!G35</f>
        <v/>
      </c>
      <c r="E35" s="41">
        <f>IFERROR(INDEX(Sys_DSO,MATCH(B35,Sys_Names,0)),0)</f>
        <v/>
      </c>
      <c r="F35" s="24">
        <f>C35+E35</f>
        <v/>
      </c>
      <c r="G35" s="31">
        <f>YEAR(F35)*12+MONTH(F35)</f>
        <v/>
      </c>
      <c r="H35" s="24">
        <f>C35+DSO_Blended</f>
        <v/>
      </c>
      <c r="I35" s="31">
        <f>YEAR(H35)*12+MONTH(H35)</f>
        <v/>
      </c>
    </row>
    <row r="37">
      <c r="A37" s="21" t="inlineStr">
        <is>
          <t>Total invoiced</t>
        </is>
      </c>
      <c r="D37" s="22">
        <f>SUM(D6:D35)</f>
        <v/>
      </c>
    </row>
    <row r="39">
      <c r="A39" s="11" t="inlineStr">
        <is>
          <t>Change one hospital's DSO on Inputs and watch column F move for that hospital only. That is the entire argument against a blended rate.</t>
        </is>
      </c>
    </row>
    <row r="41">
      <c r="A41" s="5" t="n"/>
      <c r="B41" s="5" t="n"/>
      <c r="C41" s="5" t="n"/>
      <c r="D41" s="5" t="n"/>
      <c r="E41" s="5" t="n"/>
      <c r="F41" s="5" t="n"/>
      <c r="G41" s="5" t="n"/>
      <c r="H41" s="5" t="n"/>
      <c r="I41" s="5" t="n"/>
    </row>
    <row r="42">
      <c r="A42" s="6" t="inlineStr">
        <is>
          <t>Spreadsheet Studio template v1.0  ·  built for this client, formulas live</t>
        </is>
      </c>
    </row>
  </sheetData>
  <pageMargins left="0.75" right="0.75" top="1" bottom="1" header="0.5" footer="0.5"/>
  <pageSetup orientation="landscape" fitToWidth="1"/>
</worksheet>
</file>

<file path=xl/worksheets/sheet8.xml><?xml version="1.0" encoding="utf-8"?>
<worksheet xmlns="http://schemas.openxmlformats.org/spreadsheetml/2006/main">
  <sheetPr>
    <tabColor rgb="00134A31"/>
    <outlinePr summaryBelow="1" summaryRight="1"/>
    <pageSetUpPr fitToPage="1"/>
  </sheetPr>
  <dimension ref="A2:E23"/>
  <sheetViews>
    <sheetView showGridLines="0" zoomScale="115" workbookViewId="0">
      <selection activeCell="A1" sqref="A1"/>
    </sheetView>
  </sheetViews>
  <sheetFormatPr baseColWidth="8" defaultRowHeight="15"/>
  <cols>
    <col width="60" customWidth="1" min="1" max="1"/>
    <col width="2" customWidth="1" min="2" max="2"/>
    <col width="15" customWidth="1" min="3" max="3"/>
    <col width="2" customWidth="1" min="4" max="4"/>
    <col width="86" customWidth="1" min="5" max="5"/>
  </cols>
  <sheetData>
    <row r="2">
      <c r="A2" s="1" t="inlineStr">
        <is>
          <t>Checks</t>
        </is>
      </c>
    </row>
    <row r="3">
      <c r="A3" s="2" t="inlineStr">
        <is>
          <t>11 tie-outs on this model. Break one on purpose before you trust the other 10.</t>
        </is>
      </c>
    </row>
    <row r="5">
      <c r="A5" s="17" t="inlineStr">
        <is>
          <t>Tie-out</t>
        </is>
      </c>
      <c r="B5" s="17" t="inlineStr"/>
      <c r="C5" s="17" t="inlineStr">
        <is>
          <t>Result</t>
        </is>
      </c>
      <c r="D5" s="17" t="inlineStr"/>
      <c r="E5" s="17" t="inlineStr">
        <is>
          <t>What it proves</t>
        </is>
      </c>
    </row>
    <row r="6">
      <c r="A6" s="9" t="inlineStr">
        <is>
          <t>Monthly commission earned totals back to the 30 cases</t>
        </is>
      </c>
      <c r="C6" s="44">
        <f>IF(ABS((SUM(Accrual!C11:H11))-(SUM(Commission!$L$6:$L$35)))&lt;=0.01,"OK","** CHECK **")</f>
        <v/>
      </c>
      <c r="E6" s="11" t="inlineStr">
        <is>
          <t>The monthly grid did not drop, duplicate or misfile a case.</t>
        </is>
      </c>
    </row>
    <row r="7">
      <c r="A7" s="9" t="inlineStr">
        <is>
          <t>Every case's commission re-derived from revenue, rate, accelerator and split</t>
        </is>
      </c>
      <c r="C7" s="44">
        <f>IF(ABS((SUMPRODUCT(Commission!$E$6:$E$35,Commission!$F$6:$F$35,Commission!$H$6:$H$35,Commission!$I$6:$I$35)+SUM(Commission!$K$6:$K$35))-(SUM(Commission!$L$6:$L$35)))&lt;=0.01,"OK","** CHECK **")</f>
        <v/>
      </c>
      <c r="E7" s="11" t="inlineStr">
        <is>
          <t>The earned column is rebuilt from its four ingredients in one pass. A number typed over any case's commission — the most common way a commission file goes wrong — shows up here.</t>
        </is>
      </c>
    </row>
    <row r="8">
      <c r="A8" s="9" t="inlineStr">
        <is>
          <t>Every case carries the plan rate for its product line</t>
        </is>
      </c>
      <c r="C8" s="44">
        <f>IF(ABS((SUM(Commission!$F$6:$F$35))-(COUNTIF(Commission!$D$6:$D$35,"Spine")*Rate_Spine+COUNTIF(Commission!$D$6:$D$35,"Extremities")*Rate_Extrem+COUNTIF(Commission!$D$6:$D$35,"Biologics")*Rate_Biolog))&lt;=0.0001,"OK","** CHECK **")</f>
        <v/>
      </c>
      <c r="E8" s="11" t="inlineStr">
        <is>
          <t>Rates re-counted straight off the Inputs table, line by line. A rate edited on the Commission sheet instead of on Inputs is caught.</t>
        </is>
      </c>
    </row>
    <row r="9">
      <c r="A9" s="9" t="inlineStr">
        <is>
          <t>Liability roll-forward agrees with the case detail, every month</t>
        </is>
      </c>
      <c r="C9" s="44">
        <f>IF(ABS((SUMPRODUCT(ABS(Accrual!C28:H28-Accrual!C29:H29)))-(0))&lt;=0.01,"OK","** CHECK **")</f>
        <v/>
      </c>
      <c r="E9" s="11" t="inlineStr">
        <is>
          <t>Opening plus earned less paid equals closing — and closing also equals the same number rebuilt from the 30 cases by a different route. One of those alone proves nothing.</t>
        </is>
      </c>
    </row>
    <row r="10">
      <c r="A10" s="9" t="inlineStr">
        <is>
          <t>The invoice basis eventually captures every case</t>
        </is>
      </c>
      <c r="C10" s="44">
        <f>IF(ABS((SUM(Accrual!C14:H14)+Accrual!I15)-(SUM(Commission!$L$6:$L$35)))&lt;=0.01,"OK","** CHECK **")</f>
        <v/>
      </c>
      <c r="E10" s="11" t="inlineStr">
        <is>
          <t>The invoice-date bucketing is a timing difference and nothing else. If these disagree, the model has lost a case rather than merely booked it late.</t>
        </is>
      </c>
    </row>
    <row r="11">
      <c r="A11" s="9" t="inlineStr">
        <is>
          <t>Cash collected plus still outstanding equals everything invoiced</t>
        </is>
      </c>
      <c r="C11" s="44">
        <f>IF(ABS((Cash!I12+Cash!G24)-(SUM(Cases!$G$6:$G$35)))&lt;=0.01,"OK","** CHECK **")</f>
        <v/>
      </c>
      <c r="E11" s="11" t="inlineStr">
        <is>
          <t>Nothing collected twice and nothing lost. The collections grid closes against the case log.</t>
        </is>
      </c>
    </row>
    <row r="12">
      <c r="A12" s="9" t="inlineStr">
        <is>
          <t>The blended rate collects the same money, just in different months</t>
        </is>
      </c>
      <c r="C12" s="44">
        <f>IF(ABS((Cash!I16+Cash!I20)-(SUM(Cases!$G$6:$G$35)))&lt;=0.01,"OK","** CHECK **")</f>
        <v/>
      </c>
      <c r="E12" s="11" t="inlineStr">
        <is>
          <t>The blended book closes against the case log too: what it has collected plus what it still expects is every dollar invoiced. The two methods differ only in WHICH month the money lands — which is the whole argument against a blended rate.</t>
        </is>
      </c>
    </row>
    <row r="13">
      <c r="A13" s="9" t="inlineStr">
        <is>
          <t>The running totals behind the headline step by exactly each month's figure</t>
        </is>
      </c>
      <c r="C13" s="44">
        <f>IF(ABS((SUMPRODUCT(ABS(Accrual!D18:H18-Accrual!C18:G18-Accrual!D11:H11))+ABS(Accrual!C18-Accrual!C11)+SUMPRODUCT(ABS(Accrual!D19:H19-Accrual!C19:G19-Accrual!D14:H14))+ABS(Accrual!C19-Accrual!C14))-(0))&lt;=0.01,"OK","** CHECK **")</f>
        <v/>
      </c>
      <c r="E13" s="11" t="inlineStr">
        <is>
          <t>The two cumulative rows that produce the March liability figure are re-walked month by month: each step must equal that month's earned (or booked) commission. A typed-over running total is caught in the month it was typed.</t>
        </is>
      </c>
    </row>
    <row r="14">
      <c r="A14" s="9" t="inlineStr">
        <is>
          <t>Every case matched a plan rate and a hospital DSO</t>
        </is>
      </c>
      <c r="C14" s="44">
        <f>IF(COUNTIF(Commission!$F$6:$F$35,0)+COUNTIF(Collect!$E$6:$E$35,0)=0,"OK","** CHECK **")</f>
        <v/>
      </c>
      <c r="E14" s="11" t="inlineStr">
        <is>
          <t>A product line or a hospital name typed differently from the Inputs table would look up to nothing and quietly earn zero commission. This counts those.</t>
        </is>
      </c>
    </row>
    <row r="15">
      <c r="A15" s="9" t="inlineStr">
        <is>
          <t>Credited cases reverse at the clawback rate</t>
        </is>
      </c>
      <c r="C15" s="44">
        <f>IF(ABS((SUMIF(Cases!$J$6:$J$35,"Y",Commission!$L$6:$L$35))-(SUMIF(Cases!$J$6:$J$35,"Y",Commission!$J$6:$J$35)*(1-Clawback_Pct)))&lt;=0.01,"OK","** CHECK **")</f>
        <v/>
      </c>
      <c r="E15" s="11" t="inlineStr">
        <is>
          <t>A credited case gives the commission back at whatever rate the plan says — and follows the input if that rate is changed, rather than assuming 100%.</t>
        </is>
      </c>
    </row>
    <row r="16">
      <c r="A16" s="9" t="inlineStr">
        <is>
          <t>The accelerator is on for every case past the threshold, and off for every case before it</t>
        </is>
      </c>
      <c r="C16" s="44">
        <f>IF(ABS((COUNTIFS(Commission!$G$6:$G$35,"&gt;"&amp;Accel_Threshold,Commission!$H$6:$H$35,Accel_Mult)+COUNTIFS(Commission!$G$6:$G$35,"&lt;="&amp;Accel_Threshold,Commission!$H$6:$H$35,1))-(COUNT(Commission!$G$6:$G$35)))&lt;=0,"OK","** CHECK **")</f>
        <v/>
      </c>
      <c r="E16" s="11" t="inlineStr">
        <is>
          <t>Every case is re-tested against the threshold. Catches the classic off-by-one (an accelerator wired to the row above, paying the bonus a case early) and the quieter one: a multiplier typed back to 1 on a case that had earned it.</t>
        </is>
      </c>
    </row>
    <row r="18">
      <c r="A18" s="21" t="inlineStr">
        <is>
          <t>Summary</t>
        </is>
      </c>
      <c r="C18" s="45">
        <f>IF(COUNTIF(C6:C16,"OK")=11,"ALL CHECKS PASS","** SOMETHING IS OFF **")</f>
        <v/>
      </c>
    </row>
    <row r="20">
      <c r="A20" s="11" t="inlineStr">
        <is>
          <t>To see this sheet work: type a number over one of the live formula cells on any calculation sheet, then press Ctrl+Z to put it back.</t>
        </is>
      </c>
    </row>
    <row r="22">
      <c r="A22" s="5" t="n"/>
      <c r="B22" s="5" t="n"/>
      <c r="C22" s="5" t="n"/>
      <c r="D22" s="5" t="n"/>
      <c r="E22" s="5" t="n"/>
    </row>
    <row r="23">
      <c r="A23" s="6" t="inlineStr">
        <is>
          <t>Spreadsheet Studio template v1.0  ·  built for this client, formulas live</t>
        </is>
      </c>
    </row>
  </sheetData>
  <conditionalFormatting sqref="C6:C16">
    <cfRule type="expression" priority="1" dxfId="1">
      <formula>$C6="** CHECK **"</formula>
    </cfRule>
  </conditionalFormatting>
  <conditionalFormatting sqref="C18">
    <cfRule type="expression" priority="2" dxfId="2">
      <formula>$C18="** SOMETHING IS OFF **"</formula>
    </cfRule>
  </conditionalFormatting>
  <pageMargins left="0.75" right="0.75" top="1" bottom="1" header="0.5" footer="0.5"/>
  <pageSetup orientation="landscape"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2026-09-03T17:50:27Z</dcterms:created>
  <dcterms:modified xmlns:dcterms="http://purl.org/dc/terms/" xmlns:xsi="http://www.w3.org/2001/XMLSchema-instance" xsi:type="dcterms:W3CDTF">2026-09-03T17:50:27Z</dcterms:modified>
</cp:coreProperties>
</file>