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Inputs" sheetId="2" state="visible" r:id="rId2"/>
    <sheet xmlns:r="http://schemas.openxmlformats.org/officeDocument/2006/relationships" name="Periods" sheetId="3" state="visible" r:id="rId3"/>
    <sheet xmlns:r="http://schemas.openxmlformats.org/officeDocument/2006/relationships" name="Payment" sheetId="4" state="visible" r:id="rId4"/>
    <sheet xmlns:r="http://schemas.openxmlformats.org/officeDocument/2006/relationships" name="Cash" sheetId="5" state="visible" r:id="rId5"/>
    <sheet xmlns:r="http://schemas.openxmlformats.org/officeDocument/2006/relationships" name="Exposure" sheetId="6" state="visible" r:id="rId6"/>
    <sheet xmlns:r="http://schemas.openxmlformats.org/officeDocument/2006/relationships" name="Checks" sheetId="7" state="visible" r:id="rId7"/>
  </sheets>
  <definedNames>
    <definedName name="Client_Name">'Inputs'!$B$6</definedName>
    <definedName name="Period_Start">'Inputs'!$B$7</definedName>
    <definedName name="Open_Cash">'Inputs'!$B$8</definedName>
    <definedName name="Min_Cash">'Inputs'!$B$9</definedName>
    <definedName name="Overhead">'Inputs'!$B$10</definedName>
    <definedName name="Bill_Lag">'Inputs'!$B$13</definedName>
    <definedName name="NOA_Days">'Inputs'!$B$14</definedName>
    <definedName name="NOA_Penalty">'Inputs'!$B$15</definedName>
    <definedName name="Old_Per_Visit">'Inputs'!$B$18</definedName>
    <definedName name="Old_Lag">'Inputs'!$B$19</definedName>
    <definedName name="Lag_Medicare">'Inputs'!$B$23</definedName>
    <definedName name="Lag_Humana">'Inputs'!$B$24</definedName>
    <definedName name="Lag_United">'Inputs'!$B$25</definedName>
    <definedName name="Lag_Medicaid">'Inputs'!$B$26</definedName>
    <definedName name="Lupa_SN">'Inputs'!$B$31</definedName>
    <definedName name="Cost_SN">'Inputs'!$C$31</definedName>
    <definedName name="Lupa_PT">'Inputs'!$B$32</definedName>
    <definedName name="Cost_PT">'Inputs'!$C$32</definedName>
    <definedName name="Lupa_OT">'Inputs'!$B$33</definedName>
    <definedName name="Cost_OT">'Inputs'!$C$33</definedName>
    <definedName name="Lupa_ST">'Inputs'!$B$34</definedName>
    <definedName name="Cost_ST">'Inputs'!$C$34</definedName>
    <definedName name="Lupa_HHA">'Inputs'!$B$35</definedName>
    <definedName name="Cost_HHA">'Inputs'!$C$35</definedName>
    <definedName name="Lupa_MSW">'Inputs'!$B$36</definedName>
    <definedName name="Cost_MSW">'Inputs'!$C$36</definedName>
    <definedName name="Payer_Names">'Inputs'!$A$23:$A$26</definedName>
    <definedName name="Payer_Lag">'Inputs'!$B$23:$B$26</definedName>
  </definedNames>
  <calcPr calcId="124519" fullCalcOnLoad="1"/>
</workbook>
</file>

<file path=xl/styles.xml><?xml version="1.0" encoding="utf-8"?>
<styleSheet xmlns="http://schemas.openxmlformats.org/spreadsheetml/2006/main">
  <numFmts count="5">
    <numFmt numFmtId="164" formatCode="yyyy-mm-dd"/>
    <numFmt numFmtId="165" formatCode="mm/dd/yyyy"/>
    <numFmt numFmtId="166" formatCode="$#,##0;($#,##0)"/>
    <numFmt numFmtId="167" formatCode="#,##0;(#,##0)"/>
    <numFmt numFmtId="168" formatCode="#,##0&quot; d&quot;"/>
  </numFmts>
  <fonts count="14">
    <font>
      <name val="Calibri"/>
      <family val="2"/>
      <color theme="1"/>
      <sz val="11"/>
      <scheme val="minor"/>
    </font>
    <font>
      <name val="Calibri"/>
      <b val="1"/>
      <color rgb="0016211C"/>
      <sz val="18"/>
    </font>
    <font>
      <name val="Calibri"/>
      <i val="1"/>
      <color rgb="005D6B64"/>
      <sz val="10"/>
    </font>
    <font>
      <name val="Calibri"/>
      <b val="1"/>
      <color rgb="00134A31"/>
      <sz val="11"/>
    </font>
    <font>
      <name val="Calibri"/>
      <color rgb="00000000"/>
      <sz val="10"/>
    </font>
    <font>
      <name val="Calibri"/>
      <i val="1"/>
      <color rgb="005D6B64"/>
      <sz val="9"/>
    </font>
    <font>
      <name val="Calibri"/>
      <b val="1"/>
      <color rgb="006B4E00"/>
      <sz val="10"/>
    </font>
    <font>
      <name val="Calibri"/>
      <b val="1"/>
      <color rgb="00FFFFFF"/>
      <sz val="10"/>
    </font>
    <font>
      <name val="Calibri"/>
      <b val="1"/>
      <color rgb="0016211C"/>
      <sz val="10"/>
    </font>
    <font>
      <name val="Calibri"/>
      <b val="1"/>
      <color rgb="005D6B64"/>
      <sz val="9"/>
    </font>
    <font>
      <name val="Calibri"/>
      <b val="1"/>
      <color rgb="00B91C1C"/>
      <sz val="14"/>
    </font>
    <font>
      <name val="Calibri"/>
      <b val="1"/>
      <color rgb="00134A31"/>
      <sz val="14"/>
    </font>
    <font>
      <name val="Calibri"/>
      <b val="1"/>
      <color rgb="00134A31"/>
      <sz val="10"/>
    </font>
    <font>
      <name val="Calibri"/>
      <b val="1"/>
      <color rgb="00134A31"/>
      <sz val="16"/>
    </font>
  </fonts>
  <fills count="5">
    <fill>
      <patternFill/>
    </fill>
    <fill>
      <patternFill patternType="gray125"/>
    </fill>
    <fill>
      <patternFill patternType="solid">
        <fgColor rgb="00E8F1EB"/>
      </patternFill>
    </fill>
    <fill>
      <patternFill patternType="solid">
        <fgColor rgb="00FFF3B8"/>
      </patternFill>
    </fill>
    <fill>
      <patternFill patternType="solid">
        <fgColor rgb="001F6F4A"/>
      </patternFill>
    </fill>
  </fills>
  <borders count="5">
    <border>
      <left/>
      <right/>
      <top/>
      <bottom/>
      <diagonal/>
    </border>
    <border>
      <top style="thin">
        <color rgb="00DCE0D9"/>
      </top>
    </border>
    <border>
      <bottom style="thin">
        <color rgb="001F6F4A"/>
      </bottom>
    </border>
    <border>
      <left style="thin">
        <color rgb="00DCE0D9"/>
      </left>
      <right style="thin">
        <color rgb="00DCE0D9"/>
      </right>
      <top style="thin">
        <color rgb="00DCE0D9"/>
      </top>
      <bottom style="thin">
        <color rgb="00DCE0D9"/>
      </bottom>
    </border>
    <border>
      <top style="thin">
        <color rgb="0016211C"/>
      </top>
    </border>
  </borders>
  <cellStyleXfs count="1">
    <xf numFmtId="0" fontId="0" fillId="0" borderId="0"/>
  </cellStyleXfs>
  <cellXfs count="44">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applyAlignment="1" pivotButton="0" quotePrefix="0" xfId="0">
      <alignment horizontal="left" vertical="top" wrapText="1"/>
    </xf>
    <xf numFmtId="0" fontId="0" fillId="0" borderId="1" pivotButton="0" quotePrefix="0" xfId="0"/>
    <xf numFmtId="0" fontId="5" fillId="0" borderId="0" pivotButton="0" quotePrefix="0" xfId="0"/>
    <xf numFmtId="0" fontId="3" fillId="2" borderId="2" applyAlignment="1" pivotButton="0" quotePrefix="0" xfId="0">
      <alignment horizontal="left" vertical="center"/>
    </xf>
    <xf numFmtId="0" fontId="0" fillId="2" borderId="2" pivotButton="0" quotePrefix="0" xfId="0"/>
    <xf numFmtId="0" fontId="4" fillId="0" borderId="0" applyAlignment="1" pivotButton="0" quotePrefix="0" xfId="0">
      <alignment horizontal="left" vertical="center"/>
    </xf>
    <xf numFmtId="49" fontId="6" fillId="3" borderId="3" applyAlignment="1" pivotButton="0" quotePrefix="0" xfId="0">
      <alignment horizontal="right" vertical="center"/>
    </xf>
    <xf numFmtId="0" fontId="5" fillId="0" borderId="0" applyAlignment="1" pivotButton="0" quotePrefix="0" xfId="0">
      <alignment horizontal="left" vertical="center"/>
    </xf>
    <xf numFmtId="165" fontId="6" fillId="3" borderId="3" applyAlignment="1" pivotButton="0" quotePrefix="0" xfId="0">
      <alignment horizontal="right" vertical="center"/>
    </xf>
    <xf numFmtId="166" fontId="6" fillId="3" borderId="3" applyAlignment="1" pivotButton="0" quotePrefix="0" xfId="0">
      <alignment horizontal="right" vertical="center"/>
    </xf>
    <xf numFmtId="167" fontId="6" fillId="3" borderId="3" applyAlignment="1" pivotButton="0" quotePrefix="0" xfId="0">
      <alignment horizontal="right" vertical="center"/>
    </xf>
    <xf numFmtId="10" fontId="6" fillId="3" borderId="3" applyAlignment="1" pivotButton="0" quotePrefix="0" xfId="0">
      <alignment horizontal="right" vertical="center"/>
    </xf>
    <xf numFmtId="0" fontId="7" fillId="4" borderId="3" applyAlignment="1" pivotButton="0" quotePrefix="0" xfId="0">
      <alignment horizontal="center" vertical="center"/>
    </xf>
    <xf numFmtId="49" fontId="6" fillId="3" borderId="3" applyAlignment="1" pivotButton="0" quotePrefix="0" xfId="0">
      <alignment horizontal="left" vertical="center"/>
    </xf>
    <xf numFmtId="168" fontId="6" fillId="3" borderId="3" applyAlignment="1" pivotButton="0" quotePrefix="0" xfId="0">
      <alignment horizontal="right" vertical="center"/>
    </xf>
    <xf numFmtId="49" fontId="6" fillId="3" borderId="3" applyAlignment="1" pivotButton="0" quotePrefix="0" xfId="0">
      <alignment horizontal="center" vertical="center"/>
    </xf>
    <xf numFmtId="0" fontId="8" fillId="0" borderId="0" applyAlignment="1" pivotButton="0" quotePrefix="0" xfId="0">
      <alignment horizontal="left" vertical="center"/>
    </xf>
    <xf numFmtId="166" fontId="8" fillId="0" borderId="4" applyAlignment="1" pivotButton="0" quotePrefix="0" xfId="0">
      <alignment horizontal="right" vertical="center"/>
    </xf>
    <xf numFmtId="167" fontId="8" fillId="0" borderId="4" applyAlignment="1" pivotButton="0" quotePrefix="0" xfId="0">
      <alignment horizontal="right" vertical="center"/>
    </xf>
    <xf numFmtId="49" fontId="4" fillId="0" borderId="0" applyAlignment="1" pivotButton="0" quotePrefix="0" xfId="0">
      <alignment horizontal="center" vertical="center"/>
    </xf>
    <xf numFmtId="49" fontId="4" fillId="0" borderId="0" applyAlignment="1" pivotButton="0" quotePrefix="0" xfId="0">
      <alignment horizontal="left" vertical="center"/>
    </xf>
    <xf numFmtId="165" fontId="4" fillId="0" borderId="0" applyAlignment="1" pivotButton="0" quotePrefix="0" xfId="0">
      <alignment horizontal="right" vertical="center"/>
    </xf>
    <xf numFmtId="167" fontId="4" fillId="0" borderId="0" applyAlignment="1" pivotButton="0" quotePrefix="0" xfId="0">
      <alignment horizontal="right" vertical="center"/>
    </xf>
    <xf numFmtId="166" fontId="4" fillId="0" borderId="0" applyAlignment="1" pivotButton="0" quotePrefix="0" xfId="0">
      <alignment horizontal="right" vertical="center"/>
    </xf>
    <xf numFmtId="166" fontId="8" fillId="0" borderId="0" applyAlignment="1" pivotButton="0" quotePrefix="0" xfId="0">
      <alignment horizontal="right" vertical="center"/>
    </xf>
    <xf numFmtId="168" fontId="4" fillId="0" borderId="0" applyAlignment="1" pivotButton="0" quotePrefix="0" xfId="0">
      <alignment horizontal="right" vertical="center"/>
    </xf>
    <xf numFmtId="3" fontId="5" fillId="0" borderId="0" applyAlignment="1" pivotButton="0" quotePrefix="0" xfId="0">
      <alignment horizontal="right" vertical="center"/>
    </xf>
    <xf numFmtId="49" fontId="8" fillId="0" borderId="4" applyAlignment="1" pivotButton="0" quotePrefix="0" xfId="0">
      <alignment horizontal="center" vertical="center"/>
    </xf>
    <xf numFmtId="0" fontId="7" fillId="4" borderId="0" applyAlignment="1" pivotButton="0" quotePrefix="0" xfId="0">
      <alignment horizontal="left" vertical="center"/>
    </xf>
    <xf numFmtId="0" fontId="0" fillId="4" borderId="0" pivotButton="0" quotePrefix="0" xfId="0"/>
    <xf numFmtId="3" fontId="5" fillId="0" borderId="0" applyAlignment="1" pivotButton="0" quotePrefix="0" xfId="0">
      <alignment horizontal="center" vertical="center"/>
    </xf>
    <xf numFmtId="0" fontId="8" fillId="0" borderId="4" applyAlignment="1" pivotButton="0" quotePrefix="0" xfId="0">
      <alignment horizontal="left" vertical="center"/>
    </xf>
    <xf numFmtId="0" fontId="0" fillId="0" borderId="4" pivotButton="0" quotePrefix="0" xfId="0"/>
    <xf numFmtId="0" fontId="9" fillId="0" borderId="0" applyAlignment="1" pivotButton="0" quotePrefix="0" xfId="0">
      <alignment horizontal="left" vertical="center"/>
    </xf>
    <xf numFmtId="166" fontId="10" fillId="0" borderId="0" applyAlignment="1" pivotButton="0" quotePrefix="0" xfId="0">
      <alignment horizontal="left" vertical="center"/>
    </xf>
    <xf numFmtId="49" fontId="11" fillId="0" borderId="0" applyAlignment="1" pivotButton="0" quotePrefix="0" xfId="0">
      <alignment horizontal="left" vertical="center"/>
    </xf>
    <xf numFmtId="167" fontId="8" fillId="0" borderId="0" applyAlignment="1" pivotButton="0" quotePrefix="0" xfId="0">
      <alignment horizontal="right" vertical="center"/>
    </xf>
    <xf numFmtId="166" fontId="11" fillId="0" borderId="0" applyAlignment="1" pivotButton="0" quotePrefix="0" xfId="0">
      <alignment horizontal="left" vertical="center"/>
    </xf>
    <xf numFmtId="0" fontId="12" fillId="0" borderId="3" applyAlignment="1" pivotButton="0" quotePrefix="0" xfId="0">
      <alignment horizontal="center" vertical="center"/>
    </xf>
    <xf numFmtId="0" fontId="13" fillId="0" borderId="0" applyAlignment="1" pivotButton="0" quotePrefix="0" xfId="0">
      <alignment horizontal="center" vertical="center"/>
    </xf>
  </cellXfs>
  <cellStyles count="1">
    <cellStyle name="Normal" xfId="0" builtinId="0" hidden="0"/>
  </cellStyles>
  <dxfs count="3">
    <dxf>
      <font>
        <name val="Calibri"/>
        <b val="1"/>
        <color rgb="00B91C1C"/>
        <sz val="10"/>
      </font>
      <fill>
        <patternFill patternType="solid">
          <fgColor rgb="00FCE4E4"/>
        </patternFill>
      </fill>
    </dxf>
    <dxf>
      <fill>
        <patternFill patternType="solid">
          <fgColor rgb="00FEF3C7"/>
        </patternFill>
      </fill>
    </dxf>
    <dxf>
      <font>
        <name val="Calibri"/>
        <b val="1"/>
        <color rgb="00B91C1C"/>
        <sz val="14"/>
      </font>
      <fill>
        <patternFill patternType="solid">
          <fgColor rgb="00FCE4E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6211C"/>
    <outlinePr summaryBelow="1" summaryRight="1"/>
    <pageSetUpPr fitToPage="1"/>
  </sheetPr>
  <dimension ref="A2:B35"/>
  <sheetViews>
    <sheetView showGridLines="0" zoomScale="115" workbookViewId="0">
      <selection activeCell="A1" sqref="A1"/>
    </sheetView>
  </sheetViews>
  <sheetFormatPr baseColWidth="8" defaultRowHeight="15"/>
  <cols>
    <col width="3" customWidth="1" min="1" max="1"/>
    <col width="108" customWidth="1" min="2" max="2"/>
  </cols>
  <sheetData>
    <row r="2">
      <c r="B2" s="1" t="inlineStr">
        <is>
          <t>Spreadsheet Studio  ·  Home health cash forecast</t>
        </is>
      </c>
    </row>
    <row r="3">
      <c r="B3" s="2" t="inlineStr">
        <is>
          <t>Brightwater Home Health is an illustrative company. The data in this file is invented; the mechanics are not.</t>
        </is>
      </c>
    </row>
    <row r="5">
      <c r="B5" s="3" t="inlineStr">
        <is>
          <t>WHAT THIS IS</t>
        </is>
      </c>
    </row>
    <row r="6" ht="30" customHeight="1">
      <c r="B6" s="4" t="inlineStr">
        <is>
          <t>Cash by month, built from 30-day payment periods rather than from visits or invoices: each period is tested against its LUPA threshold, priced for a late notice of admission, billed after it closes, and collected on the paying plan's measured clock. Then the same periods the way the old forecast booked them, so the gap is visible in dollars and in months.</t>
        </is>
      </c>
    </row>
    <row r="8">
      <c r="B8" s="3" t="inlineStr">
        <is>
          <t>THE MISTAKE THIS MODEL EXISTS TO CATCH</t>
        </is>
      </c>
    </row>
    <row r="9" ht="30" customHeight="1">
      <c r="B9" s="4" t="inlineStr">
        <is>
          <t>Cash tied to the visit date or an invoice date. Under period payment the invoice date is neither when the work happened nor when the cash arrives. The Cash sheet shows what the old per-visit forecast expected each month against what actually lands.</t>
        </is>
      </c>
    </row>
    <row r="10" ht="30" customHeight="1">
      <c r="B10" s="4" t="inlineStr">
        <is>
          <t>Revenue recognised per visit, which reports a good month for a period that will be paid as a LUPA at a fraction of the rate. Every period is tested against its own threshold, and the ones one visit short are named while there is still time to make the visit.</t>
        </is>
      </c>
    </row>
    <row r="11" ht="30" customHeight="1">
      <c r="B11" s="4" t="inlineStr">
        <is>
          <t>The notice of admission filed late, which costs a slice of the payment for every day. Priced on the Payment sheet, period by period.</t>
        </is>
      </c>
    </row>
    <row r="13">
      <c r="B13" s="3" t="inlineStr">
        <is>
          <t>THE COLOUR RULE (learn this once and the whole file is readable)</t>
        </is>
      </c>
    </row>
    <row r="14" ht="15" customHeight="1">
      <c r="B14" s="4" t="inlineStr">
        <is>
          <t>YELLOW cell  =  an input. Type over it.</t>
        </is>
      </c>
    </row>
    <row r="15" ht="15" customHeight="1">
      <c r="B15" s="4" t="inlineStr">
        <is>
          <t>BLACK text   =  a live formula. Leave it alone.</t>
        </is>
      </c>
    </row>
    <row r="16" ht="15" customHeight="1">
      <c r="B16" s="4" t="inlineStr">
        <is>
          <t>GREEN band   =  a section header.</t>
        </is>
      </c>
    </row>
    <row r="17" ht="15" customHeight="1">
      <c r="B17" s="4" t="inlineStr">
        <is>
          <t>RED flag     =  the model is telling you something. Go and look at it.</t>
        </is>
      </c>
    </row>
    <row r="18" ht="15" customHeight="1">
      <c r="B18" s="4" t="inlineStr">
        <is>
          <t>CHECKS sheet =  tie-outs. Every row must read OK before anyone relies on this file.</t>
        </is>
      </c>
    </row>
    <row r="20">
      <c r="B20" s="3" t="inlineStr">
        <is>
          <t>HOW IT IS WIRED</t>
        </is>
      </c>
    </row>
    <row r="21" ht="30" customHeight="1">
      <c r="B21" s="4" t="inlineStr">
        <is>
          <t>Periods is the paste grid — one row per 30-day period from the EMR: payer, dates, the case-mix payment rate, the LUPA threshold, and visits by discipline.</t>
        </is>
      </c>
    </row>
    <row r="22" ht="30" customHeight="1">
      <c r="B22" s="4" t="inlineStr">
        <is>
          <t>Payment decides how each period is paid (period rate or LUPA per-visit), prices a late NOA, and dates the cash: period end, plus the billing lag, plus that payer's measured lag.</t>
        </is>
      </c>
    </row>
    <row r="23" ht="30" customHeight="1">
      <c r="B23" s="4" t="inlineStr">
        <is>
          <t>Cash buckets receipts by the month they land and by payer, runs the old per-visit forecast beside it, and rolls opening cash to closing cash against visit cost and overhead.</t>
        </is>
      </c>
    </row>
    <row r="24" ht="30" customHeight="1">
      <c r="B24" s="4" t="inlineStr">
        <is>
          <t>Exposure lists what is at stake this quarter: LUPA periods and what they left on the table, periods one visit short, and NOA penalties.</t>
        </is>
      </c>
    </row>
    <row r="26">
      <c r="B26" s="3" t="inlineStr">
        <is>
          <t>SHEETS IN THIS FILE</t>
        </is>
      </c>
    </row>
    <row r="27" ht="15" customHeight="1">
      <c r="B27" s="4" t="inlineStr">
        <is>
          <t>README · Inputs · Periods · Payment · Cash · Exposure · Checks</t>
        </is>
      </c>
    </row>
    <row r="29">
      <c r="B29" s="3" t="inlineStr">
        <is>
          <t>BEFORE YOU RELY ON IT</t>
        </is>
      </c>
    </row>
    <row r="30" ht="15" customHeight="1">
      <c r="B30" s="4" t="inlineStr">
        <is>
          <t>1.  CHECKS sheet — every row reads OK and the summary says ALL CHECKS PASS.</t>
        </is>
      </c>
    </row>
    <row r="31" ht="15" customHeight="1">
      <c r="B31" s="4" t="inlineStr">
        <is>
          <t>2.  No typed number sits in a calculation cell. Every assumption is on Inputs.</t>
        </is>
      </c>
    </row>
    <row r="32" ht="15" customHeight="1">
      <c r="B32" s="4" t="inlineStr">
        <is>
          <t>3.  Break a check on purpose once. A tie-out you have never seen go red is not a tie-out.</t>
        </is>
      </c>
    </row>
    <row r="34">
      <c r="A34" s="5" t="n"/>
      <c r="B34" s="5" t="n"/>
    </row>
    <row r="35">
      <c r="A35" s="6" t="inlineStr">
        <is>
          <t>Spreadsheet Studio template v1.0  ·  built for this client, formulas live</t>
        </is>
      </c>
    </row>
  </sheetData>
  <pageMargins left="0.75" right="0.75" top="1" bottom="1" header="0.5" footer="0.5"/>
  <pageSetup orientation="landscape" fitToWidth="1"/>
</worksheet>
</file>

<file path=xl/worksheets/sheet2.xml><?xml version="1.0" encoding="utf-8"?>
<worksheet xmlns="http://schemas.openxmlformats.org/spreadsheetml/2006/main">
  <sheetPr>
    <tabColor rgb="001F6F4A"/>
    <outlinePr summaryBelow="1" summaryRight="1"/>
    <pageSetUpPr fitToPage="1"/>
  </sheetPr>
  <dimension ref="A2:E40"/>
  <sheetViews>
    <sheetView showGridLines="0" zoomScale="115" workbookViewId="0">
      <selection activeCell="A1" sqref="A1"/>
    </sheetView>
  </sheetViews>
  <sheetFormatPr baseColWidth="8" defaultRowHeight="15"/>
  <cols>
    <col width="48" customWidth="1" min="1" max="1"/>
    <col width="14" customWidth="1" min="2" max="2"/>
    <col width="14" customWidth="1" min="3" max="3"/>
    <col width="3" customWidth="1" min="4" max="4"/>
    <col width="60" customWidth="1" min="5" max="5"/>
  </cols>
  <sheetData>
    <row r="2">
      <c r="A2" s="1" t="inlineStr">
        <is>
          <t>Inputs</t>
        </is>
      </c>
    </row>
    <row r="3">
      <c r="A3" s="2" t="inlineStr">
        <is>
          <t>Every assumption in this file lives on this sheet. Yellow means type over it.</t>
        </is>
      </c>
    </row>
    <row r="5">
      <c r="A5" s="7" t="inlineStr">
        <is>
          <t>ENGAGEMENT</t>
        </is>
      </c>
      <c r="B5" s="8" t="n"/>
      <c r="C5" s="8" t="n"/>
      <c r="D5" s="8" t="n"/>
      <c r="E5" s="8" t="n"/>
    </row>
    <row r="6">
      <c r="A6" s="9" t="inlineStr">
        <is>
          <t>Agency</t>
        </is>
      </c>
      <c r="B6" s="10" t="inlineStr">
        <is>
          <t>Brightwater Home Health</t>
        </is>
      </c>
      <c r="E6" s="11" t="inlineStr">
        <is>
          <t>Shown in every sheet heading.</t>
        </is>
      </c>
    </row>
    <row r="7">
      <c r="A7" s="9" t="inlineStr">
        <is>
          <t>First month of the cash forecast</t>
        </is>
      </c>
      <c r="B7" s="12" t="n">
        <v>46204</v>
      </c>
      <c r="E7" s="11" t="inlineStr">
        <is>
          <t>Every month column rolls off this one date.</t>
        </is>
      </c>
    </row>
    <row r="8">
      <c r="A8" s="9" t="inlineStr">
        <is>
          <t>Opening cash at the start of that month</t>
        </is>
      </c>
      <c r="B8" s="13" t="n">
        <v>120000</v>
      </c>
      <c r="E8" s="11" t="inlineStr">
        <is>
          <t>Bank balance on the first of the month.</t>
        </is>
      </c>
    </row>
    <row r="9">
      <c r="A9" s="9" t="inlineStr">
        <is>
          <t>Minimum comfortable cash</t>
        </is>
      </c>
      <c r="B9" s="13" t="n">
        <v>90000</v>
      </c>
      <c r="E9" s="11" t="inlineStr">
        <is>
          <t>Payroll plus a fortnight. Months below it are flagged.</t>
        </is>
      </c>
    </row>
    <row r="10">
      <c r="A10" s="9" t="inlineStr">
        <is>
          <t>Fixed monthly overhead</t>
        </is>
      </c>
      <c r="B10" s="13" t="n">
        <v>14000</v>
      </c>
      <c r="E10" s="11" t="inlineStr">
        <is>
          <t>Rent, office staff, software, insurance — everything that is not a visit.</t>
        </is>
      </c>
    </row>
    <row r="12">
      <c r="A12" s="7" t="inlineStr">
        <is>
          <t>BILLING MECHANICS</t>
        </is>
      </c>
      <c r="B12" s="8" t="n"/>
      <c r="C12" s="8" t="n"/>
      <c r="D12" s="8" t="n"/>
      <c r="E12" s="8" t="n"/>
    </row>
    <row r="13">
      <c r="A13" s="9" t="inlineStr">
        <is>
          <t>Days from period end to a clean final claim</t>
        </is>
      </c>
      <c r="B13" s="14" t="n">
        <v>6</v>
      </c>
      <c r="E13" s="11" t="inlineStr">
        <is>
          <t>Coding, OASIS review, claim scrub.</t>
        </is>
      </c>
    </row>
    <row r="14">
      <c r="A14" s="9" t="inlineStr">
        <is>
          <t>Notice of admission due within (days of start of care)</t>
        </is>
      </c>
      <c r="B14" s="14" t="n">
        <v>5</v>
      </c>
      <c r="E14" s="11" t="inlineStr">
        <is>
          <t>Filed later than this and the penalty starts.</t>
        </is>
      </c>
    </row>
    <row r="15">
      <c r="A15" s="9" t="inlineStr">
        <is>
          <t>Late-NOA penalty per day, as a share of the period payment</t>
        </is>
      </c>
      <c r="B15" s="15" t="n">
        <v>0.03333333333333333</v>
      </c>
      <c r="E15" s="11" t="inlineStr">
        <is>
          <t>One thirtieth of the period payment per day late, on the first period of an admission.</t>
        </is>
      </c>
    </row>
    <row r="17">
      <c r="A17" s="7" t="inlineStr">
        <is>
          <t>WHAT THE OLD FORECAST ASSUMED</t>
        </is>
      </c>
      <c r="B17" s="8" t="n"/>
      <c r="C17" s="8" t="n"/>
      <c r="D17" s="8" t="n"/>
      <c r="E17" s="8" t="n"/>
    </row>
    <row r="18">
      <c r="A18" s="9" t="inlineStr">
        <is>
          <t>Revenue booked per visit, any discipline</t>
        </is>
      </c>
      <c r="B18" s="13" t="n">
        <v>205</v>
      </c>
      <c r="E18" s="11" t="inlineStr">
        <is>
          <t>Total payments divided by total visits, from last year. It is not wrong on average.</t>
        </is>
      </c>
    </row>
    <row r="19">
      <c r="A19" s="9" t="inlineStr">
        <is>
          <t>Days from the visit to the cash</t>
        </is>
      </c>
      <c r="B19" s="14" t="n">
        <v>30</v>
      </c>
      <c r="E19" s="11" t="inlineStr">
        <is>
          <t>The old forecast put cash thirty days after the work.</t>
        </is>
      </c>
    </row>
    <row r="21">
      <c r="A21" s="7" t="inlineStr">
        <is>
          <t>HOW EACH PAYER ACTUALLY PAYS</t>
        </is>
      </c>
      <c r="B21" s="8" t="n"/>
      <c r="C21" s="8" t="n"/>
      <c r="D21" s="8" t="n"/>
      <c r="E21" s="8" t="n"/>
    </row>
    <row r="22">
      <c r="A22" s="16" t="inlineStr">
        <is>
          <t>Payer</t>
        </is>
      </c>
      <c r="B22" s="16" t="inlineStr">
        <is>
          <t>Days to cash</t>
        </is>
      </c>
      <c r="C22" s="16" t="inlineStr"/>
      <c r="D22" s="16" t="inlineStr"/>
      <c r="E22" s="16" t="inlineStr">
        <is>
          <t>How they pay</t>
        </is>
      </c>
    </row>
    <row r="23">
      <c r="A23" s="17" t="inlineStr">
        <is>
          <t>Medicare FFS</t>
        </is>
      </c>
      <c r="B23" s="18" t="n">
        <v>14</v>
      </c>
      <c r="E23" s="11" t="inlineStr">
        <is>
          <t>Payment floor. Clean claims pay on day 14.</t>
        </is>
      </c>
    </row>
    <row r="24">
      <c r="A24" s="17" t="inlineStr">
        <is>
          <t>Humana Medicare Advantage</t>
        </is>
      </c>
      <c r="B24" s="18" t="n">
        <v>42</v>
      </c>
      <c r="E24" s="11" t="inlineStr">
        <is>
          <t>Contract says 30; measured 42.</t>
        </is>
      </c>
    </row>
    <row r="25">
      <c r="A25" s="17" t="inlineStr">
        <is>
          <t>UnitedHealthcare Medicare Advantage</t>
        </is>
      </c>
      <c r="B25" s="18" t="n">
        <v>55</v>
      </c>
      <c r="E25" s="11" t="inlineStr">
        <is>
          <t>Prior-auth reviews stretch it.</t>
        </is>
      </c>
    </row>
    <row r="26">
      <c r="A26" s="17" t="inlineStr">
        <is>
          <t>Medicaid managed care</t>
        </is>
      </c>
      <c r="B26" s="18" t="n">
        <v>65</v>
      </c>
      <c r="E26" s="11" t="inlineStr">
        <is>
          <t>Slowest payer on the book.</t>
        </is>
      </c>
    </row>
    <row r="27">
      <c r="A27" s="11" t="inlineStr">
        <is>
          <t>Measured from the remittance history, not copied from the contract.</t>
        </is>
      </c>
    </row>
    <row r="29">
      <c r="A29" s="7" t="inlineStr">
        <is>
          <t>VISITS — WHAT A LUPA PAYS, AND WHAT A VISIT COSTS</t>
        </is>
      </c>
      <c r="B29" s="8" t="n"/>
      <c r="C29" s="8" t="n"/>
      <c r="D29" s="8" t="n"/>
      <c r="E29" s="8" t="n"/>
    </row>
    <row r="30">
      <c r="A30" s="16" t="inlineStr">
        <is>
          <t>Discipline</t>
        </is>
      </c>
      <c r="B30" s="16" t="inlineStr">
        <is>
          <t>LUPA rate</t>
        </is>
      </c>
      <c r="C30" s="16" t="inlineStr">
        <is>
          <t>Cost per visit</t>
        </is>
      </c>
      <c r="D30" s="16" t="inlineStr"/>
      <c r="E30" s="16" t="inlineStr">
        <is>
          <t>Note</t>
        </is>
      </c>
    </row>
    <row r="31">
      <c r="A31" s="17" t="inlineStr">
        <is>
          <t>SN</t>
        </is>
      </c>
      <c r="B31" s="13" t="n">
        <v>178</v>
      </c>
      <c r="C31" s="13" t="n">
        <v>96</v>
      </c>
      <c r="E31" s="11" t="inlineStr">
        <is>
          <t>Skilled nursing — cost includes travel and documentation time.</t>
        </is>
      </c>
    </row>
    <row r="32">
      <c r="A32" s="17" t="inlineStr">
        <is>
          <t>PT</t>
        </is>
      </c>
      <c r="B32" s="13" t="n">
        <v>195</v>
      </c>
      <c r="C32" s="13" t="n">
        <v>112</v>
      </c>
      <c r="E32" s="11" t="inlineStr">
        <is>
          <t>Physical therapy — cost includes travel and documentation time.</t>
        </is>
      </c>
    </row>
    <row r="33">
      <c r="A33" s="17" t="inlineStr">
        <is>
          <t>OT</t>
        </is>
      </c>
      <c r="B33" s="13" t="n">
        <v>196</v>
      </c>
      <c r="C33" s="13" t="n">
        <v>110</v>
      </c>
      <c r="E33" s="11" t="inlineStr">
        <is>
          <t>Occupational therapy — cost includes travel and documentation time.</t>
        </is>
      </c>
    </row>
    <row r="34">
      <c r="A34" s="17" t="inlineStr">
        <is>
          <t>ST</t>
        </is>
      </c>
      <c r="B34" s="13" t="n">
        <v>212</v>
      </c>
      <c r="C34" s="13" t="n">
        <v>118</v>
      </c>
      <c r="E34" s="11" t="inlineStr">
        <is>
          <t>Speech therapy — cost includes travel and documentation time.</t>
        </is>
      </c>
    </row>
    <row r="35">
      <c r="A35" s="17" t="inlineStr">
        <is>
          <t>HHA</t>
        </is>
      </c>
      <c r="B35" s="13" t="n">
        <v>81</v>
      </c>
      <c r="C35" s="13" t="n">
        <v>44</v>
      </c>
      <c r="E35" s="11" t="inlineStr">
        <is>
          <t>Home health aide — cost includes travel and documentation time.</t>
        </is>
      </c>
    </row>
    <row r="36">
      <c r="A36" s="17" t="inlineStr">
        <is>
          <t>MSW</t>
        </is>
      </c>
      <c r="B36" s="13" t="n">
        <v>282</v>
      </c>
      <c r="C36" s="13" t="n">
        <v>140</v>
      </c>
      <c r="E36" s="11" t="inlineStr">
        <is>
          <t>Medical social work — cost includes travel and documentation time.</t>
        </is>
      </c>
    </row>
    <row r="37">
      <c r="A37" s="11" t="inlineStr">
        <is>
          <t>A period paid as a LUPA pays these per-visit rates instead of the period rate.</t>
        </is>
      </c>
    </row>
    <row r="39">
      <c r="A39" s="5" t="n"/>
      <c r="B39" s="5" t="n"/>
      <c r="C39" s="5" t="n"/>
      <c r="D39" s="5" t="n"/>
      <c r="E39" s="5" t="n"/>
    </row>
    <row r="40">
      <c r="A40" s="6" t="inlineStr">
        <is>
          <t>Spreadsheet Studio template v1.0  ·  built for this client, formulas live</t>
        </is>
      </c>
    </row>
  </sheetData>
  <pageMargins left="0.75" right="0.75" top="1" bottom="1" header="0.5" footer="0.5"/>
  <pageSetup orientation="landscape" fitToWidth="1"/>
</worksheet>
</file>

<file path=xl/worksheets/sheet3.xml><?xml version="1.0" encoding="utf-8"?>
<worksheet xmlns="http://schemas.openxmlformats.org/spreadsheetml/2006/main">
  <sheetPr>
    <tabColor rgb="001F6F4A"/>
    <outlinePr summaryBelow="1" summaryRight="1"/>
    <pageSetUpPr fitToPage="1"/>
  </sheetPr>
  <dimension ref="A2:N48"/>
  <sheetViews>
    <sheetView showGridLines="0" zoomScale="110" workbookViewId="0">
      <pane xSplit="3" ySplit="5" topLeftCell="D6" activePane="bottomRight" state="frozen"/>
      <selection pane="topRight"/>
      <selection pane="bottomLeft"/>
      <selection pane="bottomRight" activeCell="A1" sqref="A1"/>
    </sheetView>
  </sheetViews>
  <sheetFormatPr baseColWidth="8" defaultRowHeight="15"/>
  <cols>
    <col width="10" customWidth="1" min="1" max="1"/>
    <col width="9" customWidth="1" min="2" max="2"/>
    <col width="30" customWidth="1" min="3" max="3"/>
    <col width="12" customWidth="1" min="4" max="4"/>
    <col width="8" customWidth="1" min="5" max="5"/>
    <col width="12" customWidth="1" min="6" max="6"/>
    <col width="12" customWidth="1" min="7" max="7"/>
    <col width="10" customWidth="1" min="8" max="8"/>
    <col width="7" customWidth="1" min="9" max="9"/>
    <col width="7" customWidth="1" min="10" max="10"/>
    <col width="7" customWidth="1" min="11" max="11"/>
    <col width="7" customWidth="1" min="12" max="12"/>
    <col width="7" customWidth="1" min="13" max="13"/>
    <col width="7" customWidth="1" min="14" max="14"/>
  </cols>
  <sheetData>
    <row r="2">
      <c r="A2" s="1">
        <f>Client_Name&amp;" — 30-day payment periods"</f>
        <v/>
      </c>
    </row>
    <row r="3">
      <c r="A3" s="2" t="inlineStr">
        <is>
          <t>The paste grid. One row per period, straight from the EMR. Every cell is yellow because every cell is theirs.</t>
        </is>
      </c>
    </row>
    <row r="5">
      <c r="A5" s="16" t="inlineStr">
        <is>
          <t>Period</t>
        </is>
      </c>
      <c r="B5" s="16" t="inlineStr">
        <is>
          <t>Patient</t>
        </is>
      </c>
      <c r="C5" s="16" t="inlineStr">
        <is>
          <t>Payer</t>
        </is>
      </c>
      <c r="D5" s="16" t="inlineStr">
        <is>
          <t>Period start</t>
        </is>
      </c>
      <c r="E5" s="16" t="inlineStr">
        <is>
          <t>First?</t>
        </is>
      </c>
      <c r="F5" s="16" t="inlineStr">
        <is>
          <t>NOA filed</t>
        </is>
      </c>
      <c r="G5" s="16" t="inlineStr">
        <is>
          <t>Period rate</t>
        </is>
      </c>
      <c r="H5" s="16" t="inlineStr">
        <is>
          <t>LUPA thr.</t>
        </is>
      </c>
      <c r="I5" s="16" t="inlineStr">
        <is>
          <t>SN</t>
        </is>
      </c>
      <c r="J5" s="16" t="inlineStr">
        <is>
          <t>PT</t>
        </is>
      </c>
      <c r="K5" s="16" t="inlineStr">
        <is>
          <t>OT</t>
        </is>
      </c>
      <c r="L5" s="16" t="inlineStr">
        <is>
          <t>ST</t>
        </is>
      </c>
      <c r="M5" s="16" t="inlineStr">
        <is>
          <t>HHA</t>
        </is>
      </c>
      <c r="N5" s="16" t="inlineStr">
        <is>
          <t>MSW</t>
        </is>
      </c>
    </row>
    <row r="6">
      <c r="A6" s="19" t="inlineStr">
        <is>
          <t>BW-7001</t>
        </is>
      </c>
      <c r="B6" s="19" t="inlineStr">
        <is>
          <t>P-3104</t>
        </is>
      </c>
      <c r="C6" s="17" t="inlineStr">
        <is>
          <t>Medicare FFS</t>
        </is>
      </c>
      <c r="D6" s="12" t="n">
        <v>46178</v>
      </c>
      <c r="E6" s="19" t="inlineStr">
        <is>
          <t>Y</t>
        </is>
      </c>
      <c r="F6" s="12" t="n">
        <v>46181</v>
      </c>
      <c r="G6" s="13" t="n">
        <v>2140</v>
      </c>
      <c r="H6" s="14" t="n">
        <v>4</v>
      </c>
      <c r="I6" s="14" t="n">
        <v>5</v>
      </c>
      <c r="J6" s="14" t="n">
        <v>4</v>
      </c>
      <c r="K6" s="14" t="n">
        <v>0</v>
      </c>
      <c r="L6" s="14" t="n">
        <v>0</v>
      </c>
      <c r="M6" s="14" t="n">
        <v>3</v>
      </c>
      <c r="N6" s="14" t="n">
        <v>0</v>
      </c>
    </row>
    <row r="7">
      <c r="A7" s="19" t="inlineStr">
        <is>
          <t>BW-7002</t>
        </is>
      </c>
      <c r="B7" s="19" t="inlineStr">
        <is>
          <t>P-3110</t>
        </is>
      </c>
      <c r="C7" s="17" t="inlineStr">
        <is>
          <t>Humana Medicare Advantage</t>
        </is>
      </c>
      <c r="D7" s="12" t="n">
        <v>46179</v>
      </c>
      <c r="E7" s="19" t="inlineStr">
        <is>
          <t>Y</t>
        </is>
      </c>
      <c r="F7" s="12" t="n">
        <v>46182</v>
      </c>
      <c r="G7" s="13" t="n">
        <v>1980</v>
      </c>
      <c r="H7" s="14" t="n">
        <v>3</v>
      </c>
      <c r="I7" s="14" t="n">
        <v>4</v>
      </c>
      <c r="J7" s="14" t="n">
        <v>2</v>
      </c>
      <c r="K7" s="14" t="n">
        <v>1</v>
      </c>
      <c r="L7" s="14" t="n">
        <v>0</v>
      </c>
      <c r="M7" s="14" t="n">
        <v>2</v>
      </c>
      <c r="N7" s="14" t="n">
        <v>0</v>
      </c>
    </row>
    <row r="8">
      <c r="A8" s="19" t="inlineStr">
        <is>
          <t>BW-7003</t>
        </is>
      </c>
      <c r="B8" s="19" t="inlineStr">
        <is>
          <t>P-3097</t>
        </is>
      </c>
      <c r="C8" s="17" t="inlineStr">
        <is>
          <t>Medicare FFS</t>
        </is>
      </c>
      <c r="D8" s="12" t="n">
        <v>46181</v>
      </c>
      <c r="E8" s="19" t="inlineStr">
        <is>
          <t>N</t>
        </is>
      </c>
      <c r="F8" s="12" t="n">
        <v>46154</v>
      </c>
      <c r="G8" s="13" t="n">
        <v>2410</v>
      </c>
      <c r="H8" s="14" t="n">
        <v>5</v>
      </c>
      <c r="I8" s="14" t="n">
        <v>6</v>
      </c>
      <c r="J8" s="14" t="n">
        <v>5</v>
      </c>
      <c r="K8" s="14" t="n">
        <v>2</v>
      </c>
      <c r="L8" s="14" t="n">
        <v>0</v>
      </c>
      <c r="M8" s="14" t="n">
        <v>4</v>
      </c>
      <c r="N8" s="14" t="n">
        <v>1</v>
      </c>
    </row>
    <row r="9">
      <c r="A9" s="19" t="inlineStr">
        <is>
          <t>BW-7004</t>
        </is>
      </c>
      <c r="B9" s="19" t="inlineStr">
        <is>
          <t>P-3115</t>
        </is>
      </c>
      <c r="C9" s="17" t="inlineStr">
        <is>
          <t>UnitedHealthcare Medicare Advantage</t>
        </is>
      </c>
      <c r="D9" s="12" t="n">
        <v>46182</v>
      </c>
      <c r="E9" s="19" t="inlineStr">
        <is>
          <t>Y</t>
        </is>
      </c>
      <c r="F9" s="12" t="n">
        <v>46193</v>
      </c>
      <c r="G9" s="13" t="n">
        <v>2630</v>
      </c>
      <c r="H9" s="14" t="n">
        <v>4</v>
      </c>
      <c r="I9" s="14" t="n">
        <v>5</v>
      </c>
      <c r="J9" s="14" t="n">
        <v>6</v>
      </c>
      <c r="K9" s="14" t="n">
        <v>0</v>
      </c>
      <c r="L9" s="14" t="n">
        <v>0</v>
      </c>
      <c r="M9" s="14" t="n">
        <v>3</v>
      </c>
      <c r="N9" s="14" t="n">
        <v>0</v>
      </c>
    </row>
    <row r="10">
      <c r="A10" s="19" t="inlineStr">
        <is>
          <t>BW-7005</t>
        </is>
      </c>
      <c r="B10" s="19" t="inlineStr">
        <is>
          <t>P-3121</t>
        </is>
      </c>
      <c r="C10" s="17" t="inlineStr">
        <is>
          <t>Medicare FFS</t>
        </is>
      </c>
      <c r="D10" s="12" t="n">
        <v>46184</v>
      </c>
      <c r="E10" s="19" t="inlineStr">
        <is>
          <t>Y</t>
        </is>
      </c>
      <c r="F10" s="12" t="n">
        <v>46187</v>
      </c>
      <c r="G10" s="13" t="n">
        <v>1720</v>
      </c>
      <c r="H10" s="14" t="n">
        <v>2</v>
      </c>
      <c r="I10" s="14" t="n">
        <v>1</v>
      </c>
      <c r="J10" s="14" t="n">
        <v>0</v>
      </c>
      <c r="K10" s="14" t="n">
        <v>0</v>
      </c>
      <c r="L10" s="14" t="n">
        <v>0</v>
      </c>
      <c r="M10" s="14" t="n">
        <v>0</v>
      </c>
      <c r="N10" s="14" t="n">
        <v>0</v>
      </c>
    </row>
    <row r="11">
      <c r="A11" s="19" t="inlineStr">
        <is>
          <t>BW-7006</t>
        </is>
      </c>
      <c r="B11" s="19" t="inlineStr">
        <is>
          <t>P-3088</t>
        </is>
      </c>
      <c r="C11" s="17" t="inlineStr">
        <is>
          <t>Medicaid managed care</t>
        </is>
      </c>
      <c r="D11" s="12" t="n">
        <v>46185</v>
      </c>
      <c r="E11" s="19" t="inlineStr">
        <is>
          <t>N</t>
        </is>
      </c>
      <c r="F11" s="12" t="n">
        <v>46142</v>
      </c>
      <c r="G11" s="13" t="n">
        <v>2050</v>
      </c>
      <c r="H11" s="14" t="n">
        <v>3</v>
      </c>
      <c r="I11" s="14" t="n">
        <v>3</v>
      </c>
      <c r="J11" s="14" t="n">
        <v>3</v>
      </c>
      <c r="K11" s="14" t="n">
        <v>0</v>
      </c>
      <c r="L11" s="14" t="n">
        <v>0</v>
      </c>
      <c r="M11" s="14" t="n">
        <v>2</v>
      </c>
      <c r="N11" s="14" t="n">
        <v>0</v>
      </c>
    </row>
    <row r="12">
      <c r="A12" s="19" t="inlineStr">
        <is>
          <t>BW-7007</t>
        </is>
      </c>
      <c r="B12" s="19" t="inlineStr">
        <is>
          <t>P-3126</t>
        </is>
      </c>
      <c r="C12" s="17" t="inlineStr">
        <is>
          <t>Medicare FFS</t>
        </is>
      </c>
      <c r="D12" s="12" t="n">
        <v>46188</v>
      </c>
      <c r="E12" s="19" t="inlineStr">
        <is>
          <t>Y</t>
        </is>
      </c>
      <c r="F12" s="12" t="n">
        <v>46190</v>
      </c>
      <c r="G12" s="13" t="n">
        <v>3120</v>
      </c>
      <c r="H12" s="14" t="n">
        <v>6</v>
      </c>
      <c r="I12" s="14" t="n">
        <v>7</v>
      </c>
      <c r="J12" s="14" t="n">
        <v>6</v>
      </c>
      <c r="K12" s="14" t="n">
        <v>3</v>
      </c>
      <c r="L12" s="14" t="n">
        <v>1</v>
      </c>
      <c r="M12" s="14" t="n">
        <v>4</v>
      </c>
      <c r="N12" s="14" t="n">
        <v>1</v>
      </c>
    </row>
    <row r="13">
      <c r="A13" s="19" t="inlineStr">
        <is>
          <t>BW-7008</t>
        </is>
      </c>
      <c r="B13" s="19" t="inlineStr">
        <is>
          <t>P-3130</t>
        </is>
      </c>
      <c r="C13" s="17" t="inlineStr">
        <is>
          <t>Humana Medicare Advantage</t>
        </is>
      </c>
      <c r="D13" s="12" t="n">
        <v>46189</v>
      </c>
      <c r="E13" s="19" t="inlineStr">
        <is>
          <t>Y</t>
        </is>
      </c>
      <c r="F13" s="12" t="n">
        <v>46191</v>
      </c>
      <c r="G13" s="13" t="n">
        <v>2270</v>
      </c>
      <c r="H13" s="14" t="n">
        <v>4</v>
      </c>
      <c r="I13" s="14" t="n">
        <v>4</v>
      </c>
      <c r="J13" s="14" t="n">
        <v>3</v>
      </c>
      <c r="K13" s="14" t="n">
        <v>0</v>
      </c>
      <c r="L13" s="14" t="n">
        <v>0</v>
      </c>
      <c r="M13" s="14" t="n">
        <v>2</v>
      </c>
      <c r="N13" s="14" t="n">
        <v>0</v>
      </c>
    </row>
    <row r="14">
      <c r="A14" s="19" t="inlineStr">
        <is>
          <t>BW-7009</t>
        </is>
      </c>
      <c r="B14" s="19" t="inlineStr">
        <is>
          <t>P-3102</t>
        </is>
      </c>
      <c r="C14" s="17" t="inlineStr">
        <is>
          <t>Medicare FFS</t>
        </is>
      </c>
      <c r="D14" s="12" t="n">
        <v>46191</v>
      </c>
      <c r="E14" s="19" t="inlineStr">
        <is>
          <t>N</t>
        </is>
      </c>
      <c r="F14" s="12" t="n">
        <v>46164</v>
      </c>
      <c r="G14" s="13" t="n">
        <v>1890</v>
      </c>
      <c r="H14" s="14" t="n">
        <v>3</v>
      </c>
      <c r="I14" s="14" t="n">
        <v>2</v>
      </c>
      <c r="J14" s="14" t="n">
        <v>0</v>
      </c>
      <c r="K14" s="14" t="n">
        <v>0</v>
      </c>
      <c r="L14" s="14" t="n">
        <v>0</v>
      </c>
      <c r="M14" s="14" t="n">
        <v>0</v>
      </c>
      <c r="N14" s="14" t="n">
        <v>0</v>
      </c>
    </row>
    <row r="15">
      <c r="A15" s="19" t="inlineStr">
        <is>
          <t>BW-7010</t>
        </is>
      </c>
      <c r="B15" s="19" t="inlineStr">
        <is>
          <t>P-3134</t>
        </is>
      </c>
      <c r="C15" s="17" t="inlineStr">
        <is>
          <t>Medicare FFS</t>
        </is>
      </c>
      <c r="D15" s="12" t="n">
        <v>46192</v>
      </c>
      <c r="E15" s="19" t="inlineStr">
        <is>
          <t>Y</t>
        </is>
      </c>
      <c r="F15" s="12" t="n">
        <v>46195</v>
      </c>
      <c r="G15" s="13" t="n">
        <v>2560</v>
      </c>
      <c r="H15" s="14" t="n">
        <v>5</v>
      </c>
      <c r="I15" s="14" t="n">
        <v>5</v>
      </c>
      <c r="J15" s="14" t="n">
        <v>5</v>
      </c>
      <c r="K15" s="14" t="n">
        <v>1</v>
      </c>
      <c r="L15" s="14" t="n">
        <v>0</v>
      </c>
      <c r="M15" s="14" t="n">
        <v>3</v>
      </c>
      <c r="N15" s="14" t="n">
        <v>0</v>
      </c>
    </row>
    <row r="16">
      <c r="A16" s="19" t="inlineStr">
        <is>
          <t>BW-7011</t>
        </is>
      </c>
      <c r="B16" s="19" t="inlineStr">
        <is>
          <t>P-3139</t>
        </is>
      </c>
      <c r="C16" s="17" t="inlineStr">
        <is>
          <t>UnitedHealthcare Medicare Advantage</t>
        </is>
      </c>
      <c r="D16" s="12" t="n">
        <v>46195</v>
      </c>
      <c r="E16" s="19" t="inlineStr">
        <is>
          <t>Y</t>
        </is>
      </c>
      <c r="F16" s="12" t="n">
        <v>46197</v>
      </c>
      <c r="G16" s="13" t="n">
        <v>2380</v>
      </c>
      <c r="H16" s="14" t="n">
        <v>4</v>
      </c>
      <c r="I16" s="14" t="n">
        <v>4</v>
      </c>
      <c r="J16" s="14" t="n">
        <v>4</v>
      </c>
      <c r="K16" s="14" t="n">
        <v>0</v>
      </c>
      <c r="L16" s="14" t="n">
        <v>0</v>
      </c>
      <c r="M16" s="14" t="n">
        <v>2</v>
      </c>
      <c r="N16" s="14" t="n">
        <v>1</v>
      </c>
    </row>
    <row r="17">
      <c r="A17" s="19" t="inlineStr">
        <is>
          <t>BW-7012</t>
        </is>
      </c>
      <c r="B17" s="19" t="inlineStr">
        <is>
          <t>P-3141</t>
        </is>
      </c>
      <c r="C17" s="17" t="inlineStr">
        <is>
          <t>Medicare FFS</t>
        </is>
      </c>
      <c r="D17" s="12" t="n">
        <v>46196</v>
      </c>
      <c r="E17" s="19" t="inlineStr">
        <is>
          <t>Y</t>
        </is>
      </c>
      <c r="F17" s="12" t="n">
        <v>46209</v>
      </c>
      <c r="G17" s="13" t="n">
        <v>2910</v>
      </c>
      <c r="H17" s="14" t="n">
        <v>5</v>
      </c>
      <c r="I17" s="14" t="n">
        <v>6</v>
      </c>
      <c r="J17" s="14" t="n">
        <v>5</v>
      </c>
      <c r="K17" s="14" t="n">
        <v>2</v>
      </c>
      <c r="L17" s="14" t="n">
        <v>0</v>
      </c>
      <c r="M17" s="14" t="n">
        <v>3</v>
      </c>
      <c r="N17" s="14" t="n">
        <v>0</v>
      </c>
    </row>
    <row r="18">
      <c r="A18" s="19" t="inlineStr">
        <is>
          <t>BW-7013</t>
        </is>
      </c>
      <c r="B18" s="19" t="inlineStr">
        <is>
          <t>P-3097</t>
        </is>
      </c>
      <c r="C18" s="17" t="inlineStr">
        <is>
          <t>Medicare FFS</t>
        </is>
      </c>
      <c r="D18" s="12" t="n">
        <v>46211</v>
      </c>
      <c r="E18" s="19" t="inlineStr">
        <is>
          <t>N</t>
        </is>
      </c>
      <c r="F18" s="12" t="n">
        <v>46154</v>
      </c>
      <c r="G18" s="13" t="n">
        <v>2410</v>
      </c>
      <c r="H18" s="14" t="n">
        <v>5</v>
      </c>
      <c r="I18" s="14" t="n">
        <v>5</v>
      </c>
      <c r="J18" s="14" t="n">
        <v>4</v>
      </c>
      <c r="K18" s="14" t="n">
        <v>1</v>
      </c>
      <c r="L18" s="14" t="n">
        <v>0</v>
      </c>
      <c r="M18" s="14" t="n">
        <v>3</v>
      </c>
      <c r="N18" s="14" t="n">
        <v>0</v>
      </c>
    </row>
    <row r="19">
      <c r="A19" s="19" t="inlineStr">
        <is>
          <t>BW-7014</t>
        </is>
      </c>
      <c r="B19" s="19" t="inlineStr">
        <is>
          <t>P-3145</t>
        </is>
      </c>
      <c r="C19" s="17" t="inlineStr">
        <is>
          <t>Medicaid managed care</t>
        </is>
      </c>
      <c r="D19" s="12" t="n">
        <v>46212</v>
      </c>
      <c r="E19" s="19" t="inlineStr">
        <is>
          <t>Y</t>
        </is>
      </c>
      <c r="F19" s="12" t="n">
        <v>46214</v>
      </c>
      <c r="G19" s="13" t="n">
        <v>2160</v>
      </c>
      <c r="H19" s="14" t="n">
        <v>4</v>
      </c>
      <c r="I19" s="14" t="n">
        <v>4</v>
      </c>
      <c r="J19" s="14" t="n">
        <v>3</v>
      </c>
      <c r="K19" s="14" t="n">
        <v>0</v>
      </c>
      <c r="L19" s="14" t="n">
        <v>0</v>
      </c>
      <c r="M19" s="14" t="n">
        <v>2</v>
      </c>
      <c r="N19" s="14" t="n">
        <v>0</v>
      </c>
    </row>
    <row r="20">
      <c r="A20" s="19" t="inlineStr">
        <is>
          <t>BW-7015</t>
        </is>
      </c>
      <c r="B20" s="19" t="inlineStr">
        <is>
          <t>P-3149</t>
        </is>
      </c>
      <c r="C20" s="17" t="inlineStr">
        <is>
          <t>Medicare FFS</t>
        </is>
      </c>
      <c r="D20" s="12" t="n">
        <v>46213</v>
      </c>
      <c r="E20" s="19" t="inlineStr">
        <is>
          <t>Y</t>
        </is>
      </c>
      <c r="F20" s="12" t="n">
        <v>46216</v>
      </c>
      <c r="G20" s="13" t="n">
        <v>1740</v>
      </c>
      <c r="H20" s="14" t="n">
        <v>3</v>
      </c>
      <c r="I20" s="14" t="n">
        <v>2</v>
      </c>
      <c r="J20" s="14" t="n">
        <v>0</v>
      </c>
      <c r="K20" s="14" t="n">
        <v>0</v>
      </c>
      <c r="L20" s="14" t="n">
        <v>0</v>
      </c>
      <c r="M20" s="14" t="n">
        <v>0</v>
      </c>
      <c r="N20" s="14" t="n">
        <v>0</v>
      </c>
    </row>
    <row r="21">
      <c r="A21" s="19" t="inlineStr">
        <is>
          <t>BW-7016</t>
        </is>
      </c>
      <c r="B21" s="19" t="inlineStr">
        <is>
          <t>P-3104</t>
        </is>
      </c>
      <c r="C21" s="17" t="inlineStr">
        <is>
          <t>Medicare FFS</t>
        </is>
      </c>
      <c r="D21" s="12" t="n">
        <v>46208</v>
      </c>
      <c r="E21" s="19" t="inlineStr">
        <is>
          <t>N</t>
        </is>
      </c>
      <c r="F21" s="12" t="n">
        <v>46181</v>
      </c>
      <c r="G21" s="13" t="n">
        <v>2140</v>
      </c>
      <c r="H21" s="14" t="n">
        <v>4</v>
      </c>
      <c r="I21" s="14" t="n">
        <v>4</v>
      </c>
      <c r="J21" s="14" t="n">
        <v>3</v>
      </c>
      <c r="K21" s="14" t="n">
        <v>0</v>
      </c>
      <c r="L21" s="14" t="n">
        <v>0</v>
      </c>
      <c r="M21" s="14" t="n">
        <v>2</v>
      </c>
      <c r="N21" s="14" t="n">
        <v>0</v>
      </c>
    </row>
    <row r="22">
      <c r="A22" s="19" t="inlineStr">
        <is>
          <t>BW-7017</t>
        </is>
      </c>
      <c r="B22" s="19" t="inlineStr">
        <is>
          <t>P-3152</t>
        </is>
      </c>
      <c r="C22" s="17" t="inlineStr">
        <is>
          <t>Humana Medicare Advantage</t>
        </is>
      </c>
      <c r="D22" s="12" t="n">
        <v>46216</v>
      </c>
      <c r="E22" s="19" t="inlineStr">
        <is>
          <t>Y</t>
        </is>
      </c>
      <c r="F22" s="12" t="n">
        <v>46218</v>
      </c>
      <c r="G22" s="13" t="n">
        <v>2480</v>
      </c>
      <c r="H22" s="14" t="n">
        <v>4</v>
      </c>
      <c r="I22" s="14" t="n">
        <v>5</v>
      </c>
      <c r="J22" s="14" t="n">
        <v>4</v>
      </c>
      <c r="K22" s="14" t="n">
        <v>0</v>
      </c>
      <c r="L22" s="14" t="n">
        <v>0</v>
      </c>
      <c r="M22" s="14" t="n">
        <v>3</v>
      </c>
      <c r="N22" s="14" t="n">
        <v>0</v>
      </c>
    </row>
    <row r="23">
      <c r="A23" s="19" t="inlineStr">
        <is>
          <t>BW-7018</t>
        </is>
      </c>
      <c r="B23" s="19" t="inlineStr">
        <is>
          <t>P-3156</t>
        </is>
      </c>
      <c r="C23" s="17" t="inlineStr">
        <is>
          <t>Medicare FFS</t>
        </is>
      </c>
      <c r="D23" s="12" t="n">
        <v>46217</v>
      </c>
      <c r="E23" s="19" t="inlineStr">
        <is>
          <t>Y</t>
        </is>
      </c>
      <c r="F23" s="12" t="n">
        <v>46219</v>
      </c>
      <c r="G23" s="13" t="n">
        <v>3340</v>
      </c>
      <c r="H23" s="14" t="n">
        <v>6</v>
      </c>
      <c r="I23" s="14" t="n">
        <v>8</v>
      </c>
      <c r="J23" s="14" t="n">
        <v>6</v>
      </c>
      <c r="K23" s="14" t="n">
        <v>3</v>
      </c>
      <c r="L23" s="14" t="n">
        <v>1</v>
      </c>
      <c r="M23" s="14" t="n">
        <v>4</v>
      </c>
      <c r="N23" s="14" t="n">
        <v>1</v>
      </c>
    </row>
    <row r="24">
      <c r="A24" s="19" t="inlineStr">
        <is>
          <t>BW-7019</t>
        </is>
      </c>
      <c r="B24" s="19" t="inlineStr">
        <is>
          <t>P-3126</t>
        </is>
      </c>
      <c r="C24" s="17" t="inlineStr">
        <is>
          <t>Medicare FFS</t>
        </is>
      </c>
      <c r="D24" s="12" t="n">
        <v>46218</v>
      </c>
      <c r="E24" s="19" t="inlineStr">
        <is>
          <t>N</t>
        </is>
      </c>
      <c r="F24" s="12" t="n">
        <v>46190</v>
      </c>
      <c r="G24" s="13" t="n">
        <v>3120</v>
      </c>
      <c r="H24" s="14" t="n">
        <v>6</v>
      </c>
      <c r="I24" s="14" t="n">
        <v>6</v>
      </c>
      <c r="J24" s="14" t="n">
        <v>5</v>
      </c>
      <c r="K24" s="14" t="n">
        <v>2</v>
      </c>
      <c r="L24" s="14" t="n">
        <v>0</v>
      </c>
      <c r="M24" s="14" t="n">
        <v>3</v>
      </c>
      <c r="N24" s="14" t="n">
        <v>0</v>
      </c>
    </row>
    <row r="25">
      <c r="A25" s="19" t="inlineStr">
        <is>
          <t>BW-7020</t>
        </is>
      </c>
      <c r="B25" s="19" t="inlineStr">
        <is>
          <t>P-3160</t>
        </is>
      </c>
      <c r="C25" s="17" t="inlineStr">
        <is>
          <t>UnitedHealthcare Medicare Advantage</t>
        </is>
      </c>
      <c r="D25" s="12" t="n">
        <v>46220</v>
      </c>
      <c r="E25" s="19" t="inlineStr">
        <is>
          <t>Y</t>
        </is>
      </c>
      <c r="F25" s="12" t="n">
        <v>46222</v>
      </c>
      <c r="G25" s="13" t="n">
        <v>2020</v>
      </c>
      <c r="H25" s="14" t="n">
        <v>3</v>
      </c>
      <c r="I25" s="14" t="n">
        <v>3</v>
      </c>
      <c r="J25" s="14" t="n">
        <v>2</v>
      </c>
      <c r="K25" s="14" t="n">
        <v>0</v>
      </c>
      <c r="L25" s="14" t="n">
        <v>0</v>
      </c>
      <c r="M25" s="14" t="n">
        <v>1</v>
      </c>
      <c r="N25" s="14" t="n">
        <v>0</v>
      </c>
    </row>
    <row r="26">
      <c r="A26" s="19" t="inlineStr">
        <is>
          <t>BW-7021</t>
        </is>
      </c>
      <c r="B26" s="19" t="inlineStr">
        <is>
          <t>P-3163</t>
        </is>
      </c>
      <c r="C26" s="17" t="inlineStr">
        <is>
          <t>Medicare FFS</t>
        </is>
      </c>
      <c r="D26" s="12" t="n">
        <v>46223</v>
      </c>
      <c r="E26" s="19" t="inlineStr">
        <is>
          <t>Y</t>
        </is>
      </c>
      <c r="F26" s="12" t="n">
        <v>46225</v>
      </c>
      <c r="G26" s="13" t="n">
        <v>2290</v>
      </c>
      <c r="H26" s="14" t="n">
        <v>4</v>
      </c>
      <c r="I26" s="14" t="n">
        <v>3</v>
      </c>
      <c r="J26" s="14" t="n">
        <v>0</v>
      </c>
      <c r="K26" s="14" t="n">
        <v>0</v>
      </c>
      <c r="L26" s="14" t="n">
        <v>0</v>
      </c>
      <c r="M26" s="14" t="n">
        <v>0</v>
      </c>
      <c r="N26" s="14" t="n">
        <v>0</v>
      </c>
    </row>
    <row r="27">
      <c r="A27" s="19" t="inlineStr">
        <is>
          <t>BW-7022</t>
        </is>
      </c>
      <c r="B27" s="19" t="inlineStr">
        <is>
          <t>P-3134</t>
        </is>
      </c>
      <c r="C27" s="17" t="inlineStr">
        <is>
          <t>Medicare FFS</t>
        </is>
      </c>
      <c r="D27" s="12" t="n">
        <v>46222</v>
      </c>
      <c r="E27" s="19" t="inlineStr">
        <is>
          <t>N</t>
        </is>
      </c>
      <c r="F27" s="12" t="n">
        <v>46195</v>
      </c>
      <c r="G27" s="13" t="n">
        <v>2560</v>
      </c>
      <c r="H27" s="14" t="n">
        <v>5</v>
      </c>
      <c r="I27" s="14" t="n">
        <v>5</v>
      </c>
      <c r="J27" s="14" t="n">
        <v>4</v>
      </c>
      <c r="K27" s="14" t="n">
        <v>1</v>
      </c>
      <c r="L27" s="14" t="n">
        <v>0</v>
      </c>
      <c r="M27" s="14" t="n">
        <v>2</v>
      </c>
      <c r="N27" s="14" t="n">
        <v>0</v>
      </c>
    </row>
    <row r="28">
      <c r="A28" s="19" t="inlineStr">
        <is>
          <t>BW-7023</t>
        </is>
      </c>
      <c r="B28" s="19" t="inlineStr">
        <is>
          <t>P-3167</t>
        </is>
      </c>
      <c r="C28" s="17" t="inlineStr">
        <is>
          <t>Medicaid managed care</t>
        </is>
      </c>
      <c r="D28" s="12" t="n">
        <v>46225</v>
      </c>
      <c r="E28" s="19" t="inlineStr">
        <is>
          <t>Y</t>
        </is>
      </c>
      <c r="F28" s="12" t="n">
        <v>46228</v>
      </c>
      <c r="G28" s="13" t="n">
        <v>1950</v>
      </c>
      <c r="H28" s="14" t="n">
        <v>3</v>
      </c>
      <c r="I28" s="14" t="n">
        <v>3</v>
      </c>
      <c r="J28" s="14" t="n">
        <v>3</v>
      </c>
      <c r="K28" s="14" t="n">
        <v>0</v>
      </c>
      <c r="L28" s="14" t="n">
        <v>0</v>
      </c>
      <c r="M28" s="14" t="n">
        <v>2</v>
      </c>
      <c r="N28" s="14" t="n">
        <v>0</v>
      </c>
    </row>
    <row r="29">
      <c r="A29" s="19" t="inlineStr">
        <is>
          <t>BW-7024</t>
        </is>
      </c>
      <c r="B29" s="19" t="inlineStr">
        <is>
          <t>P-3171</t>
        </is>
      </c>
      <c r="C29" s="17" t="inlineStr">
        <is>
          <t>Medicare FFS</t>
        </is>
      </c>
      <c r="D29" s="12" t="n">
        <v>46227</v>
      </c>
      <c r="E29" s="19" t="inlineStr">
        <is>
          <t>Y</t>
        </is>
      </c>
      <c r="F29" s="12" t="n">
        <v>46230</v>
      </c>
      <c r="G29" s="13" t="n">
        <v>2700</v>
      </c>
      <c r="H29" s="14" t="n">
        <v>5</v>
      </c>
      <c r="I29" s="14" t="n">
        <v>6</v>
      </c>
      <c r="J29" s="14" t="n">
        <v>5</v>
      </c>
      <c r="K29" s="14" t="n">
        <v>1</v>
      </c>
      <c r="L29" s="14" t="n">
        <v>0</v>
      </c>
      <c r="M29" s="14" t="n">
        <v>3</v>
      </c>
      <c r="N29" s="14" t="n">
        <v>1</v>
      </c>
    </row>
    <row r="30">
      <c r="A30" s="19" t="inlineStr">
        <is>
          <t>BW-7025</t>
        </is>
      </c>
      <c r="B30" s="19" t="inlineStr">
        <is>
          <t>P-3174</t>
        </is>
      </c>
      <c r="C30" s="17" t="inlineStr">
        <is>
          <t>Humana Medicare Advantage</t>
        </is>
      </c>
      <c r="D30" s="12" t="n">
        <v>46230</v>
      </c>
      <c r="E30" s="19" t="inlineStr">
        <is>
          <t>Y</t>
        </is>
      </c>
      <c r="F30" s="12" t="n">
        <v>46232</v>
      </c>
      <c r="G30" s="13" t="n">
        <v>2110</v>
      </c>
      <c r="H30" s="14" t="n">
        <v>4</v>
      </c>
      <c r="I30" s="14" t="n">
        <v>4</v>
      </c>
      <c r="J30" s="14" t="n">
        <v>3</v>
      </c>
      <c r="K30" s="14" t="n">
        <v>0</v>
      </c>
      <c r="L30" s="14" t="n">
        <v>0</v>
      </c>
      <c r="M30" s="14" t="n">
        <v>2</v>
      </c>
      <c r="N30" s="14" t="n">
        <v>0</v>
      </c>
    </row>
    <row r="31">
      <c r="A31" s="19" t="inlineStr">
        <is>
          <t>BW-7026</t>
        </is>
      </c>
      <c r="B31" s="19" t="inlineStr">
        <is>
          <t>P-3141</t>
        </is>
      </c>
      <c r="C31" s="17" t="inlineStr">
        <is>
          <t>Medicare FFS</t>
        </is>
      </c>
      <c r="D31" s="12" t="n">
        <v>46226</v>
      </c>
      <c r="E31" s="19" t="inlineStr">
        <is>
          <t>N</t>
        </is>
      </c>
      <c r="F31" s="12" t="n">
        <v>46209</v>
      </c>
      <c r="G31" s="13" t="n">
        <v>2910</v>
      </c>
      <c r="H31" s="14" t="n">
        <v>5</v>
      </c>
      <c r="I31" s="14" t="n">
        <v>5</v>
      </c>
      <c r="J31" s="14" t="n">
        <v>5</v>
      </c>
      <c r="K31" s="14" t="n">
        <v>2</v>
      </c>
      <c r="L31" s="14" t="n">
        <v>0</v>
      </c>
      <c r="M31" s="14" t="n">
        <v>3</v>
      </c>
      <c r="N31" s="14" t="n">
        <v>0</v>
      </c>
    </row>
    <row r="32">
      <c r="A32" s="19" t="inlineStr">
        <is>
          <t>BW-7027</t>
        </is>
      </c>
      <c r="B32" s="19" t="inlineStr">
        <is>
          <t>P-3178</t>
        </is>
      </c>
      <c r="C32" s="17" t="inlineStr">
        <is>
          <t>Medicare FFS</t>
        </is>
      </c>
      <c r="D32" s="12" t="n">
        <v>46232</v>
      </c>
      <c r="E32" s="19" t="inlineStr">
        <is>
          <t>Y</t>
        </is>
      </c>
      <c r="F32" s="12" t="n">
        <v>46235</v>
      </c>
      <c r="G32" s="13" t="n">
        <v>1830</v>
      </c>
      <c r="H32" s="14" t="n">
        <v>3</v>
      </c>
      <c r="I32" s="14" t="n">
        <v>2</v>
      </c>
      <c r="J32" s="14" t="n">
        <v>0</v>
      </c>
      <c r="K32" s="14" t="n">
        <v>0</v>
      </c>
      <c r="L32" s="14" t="n">
        <v>0</v>
      </c>
      <c r="M32" s="14" t="n">
        <v>0</v>
      </c>
      <c r="N32" s="14" t="n">
        <v>0</v>
      </c>
    </row>
    <row r="33">
      <c r="A33" s="19" t="inlineStr">
        <is>
          <t>BW-7028</t>
        </is>
      </c>
      <c r="B33" s="19" t="inlineStr">
        <is>
          <t>P-3182</t>
        </is>
      </c>
      <c r="C33" s="17" t="inlineStr">
        <is>
          <t>UnitedHealthcare Medicare Advantage</t>
        </is>
      </c>
      <c r="D33" s="12" t="n">
        <v>46234</v>
      </c>
      <c r="E33" s="19" t="inlineStr">
        <is>
          <t>Y</t>
        </is>
      </c>
      <c r="F33" s="12" t="n">
        <v>46236</v>
      </c>
      <c r="G33" s="13" t="n">
        <v>2450</v>
      </c>
      <c r="H33" s="14" t="n">
        <v>4</v>
      </c>
      <c r="I33" s="14" t="n">
        <v>5</v>
      </c>
      <c r="J33" s="14" t="n">
        <v>4</v>
      </c>
      <c r="K33" s="14" t="n">
        <v>0</v>
      </c>
      <c r="L33" s="14" t="n">
        <v>0</v>
      </c>
      <c r="M33" s="14" t="n">
        <v>3</v>
      </c>
      <c r="N33" s="14" t="n">
        <v>0</v>
      </c>
    </row>
    <row r="34">
      <c r="A34" s="19" t="inlineStr">
        <is>
          <t>BW-7029</t>
        </is>
      </c>
      <c r="B34" s="19" t="inlineStr">
        <is>
          <t>P-3186</t>
        </is>
      </c>
      <c r="C34" s="17" t="inlineStr">
        <is>
          <t>Medicare FFS</t>
        </is>
      </c>
      <c r="D34" s="12" t="n">
        <v>46237</v>
      </c>
      <c r="E34" s="19" t="inlineStr">
        <is>
          <t>Y</t>
        </is>
      </c>
      <c r="F34" s="12" t="n">
        <v>46239</v>
      </c>
      <c r="G34" s="13" t="n">
        <v>2620</v>
      </c>
      <c r="H34" s="14" t="n">
        <v>5</v>
      </c>
      <c r="I34" s="14" t="n">
        <v>5</v>
      </c>
      <c r="J34" s="14" t="n">
        <v>5</v>
      </c>
      <c r="K34" s="14" t="n">
        <v>1</v>
      </c>
      <c r="L34" s="14" t="n">
        <v>0</v>
      </c>
      <c r="M34" s="14" t="n">
        <v>3</v>
      </c>
      <c r="N34" s="14" t="n">
        <v>0</v>
      </c>
    </row>
    <row r="35">
      <c r="A35" s="19" t="inlineStr">
        <is>
          <t>BW-7030</t>
        </is>
      </c>
      <c r="B35" s="19" t="inlineStr">
        <is>
          <t>P-3156</t>
        </is>
      </c>
      <c r="C35" s="17" t="inlineStr">
        <is>
          <t>Medicare FFS</t>
        </is>
      </c>
      <c r="D35" s="12" t="n">
        <v>46247</v>
      </c>
      <c r="E35" s="19" t="inlineStr">
        <is>
          <t>N</t>
        </is>
      </c>
      <c r="F35" s="12" t="n">
        <v>46219</v>
      </c>
      <c r="G35" s="13" t="n">
        <v>3340</v>
      </c>
      <c r="H35" s="14" t="n">
        <v>6</v>
      </c>
      <c r="I35" s="14" t="n">
        <v>7</v>
      </c>
      <c r="J35" s="14" t="n">
        <v>6</v>
      </c>
      <c r="K35" s="14" t="n">
        <v>2</v>
      </c>
      <c r="L35" s="14" t="n">
        <v>1</v>
      </c>
      <c r="M35" s="14" t="n">
        <v>4</v>
      </c>
      <c r="N35" s="14" t="n">
        <v>0</v>
      </c>
    </row>
    <row r="36">
      <c r="A36" s="19" t="inlineStr">
        <is>
          <t>BW-7031</t>
        </is>
      </c>
      <c r="B36" s="19" t="inlineStr">
        <is>
          <t>P-3190</t>
        </is>
      </c>
      <c r="C36" s="17" t="inlineStr">
        <is>
          <t>Medicare FFS</t>
        </is>
      </c>
      <c r="D36" s="12" t="n">
        <v>46240</v>
      </c>
      <c r="E36" s="19" t="inlineStr">
        <is>
          <t>Y</t>
        </is>
      </c>
      <c r="F36" s="12" t="n">
        <v>46248</v>
      </c>
      <c r="G36" s="13" t="n">
        <v>2380</v>
      </c>
      <c r="H36" s="14" t="n">
        <v>4</v>
      </c>
      <c r="I36" s="14" t="n">
        <v>4</v>
      </c>
      <c r="J36" s="14" t="n">
        <v>4</v>
      </c>
      <c r="K36" s="14" t="n">
        <v>0</v>
      </c>
      <c r="L36" s="14" t="n">
        <v>0</v>
      </c>
      <c r="M36" s="14" t="n">
        <v>2</v>
      </c>
      <c r="N36" s="14" t="n">
        <v>0</v>
      </c>
    </row>
    <row r="37">
      <c r="A37" s="19" t="inlineStr">
        <is>
          <t>BW-7032</t>
        </is>
      </c>
      <c r="B37" s="19" t="inlineStr">
        <is>
          <t>P-3194</t>
        </is>
      </c>
      <c r="C37" s="17" t="inlineStr">
        <is>
          <t>Medicaid managed care</t>
        </is>
      </c>
      <c r="D37" s="12" t="n">
        <v>46244</v>
      </c>
      <c r="E37" s="19" t="inlineStr">
        <is>
          <t>Y</t>
        </is>
      </c>
      <c r="F37" s="12" t="n">
        <v>46246</v>
      </c>
      <c r="G37" s="13" t="n">
        <v>2070</v>
      </c>
      <c r="H37" s="14" t="n">
        <v>4</v>
      </c>
      <c r="I37" s="14" t="n">
        <v>4</v>
      </c>
      <c r="J37" s="14" t="n">
        <v>3</v>
      </c>
      <c r="K37" s="14" t="n">
        <v>0</v>
      </c>
      <c r="L37" s="14" t="n">
        <v>0</v>
      </c>
      <c r="M37" s="14" t="n">
        <v>2</v>
      </c>
      <c r="N37" s="14" t="n">
        <v>0</v>
      </c>
    </row>
    <row r="38">
      <c r="A38" s="19" t="inlineStr">
        <is>
          <t>BW-7033</t>
        </is>
      </c>
      <c r="B38" s="19" t="inlineStr">
        <is>
          <t>P-3198</t>
        </is>
      </c>
      <c r="C38" s="17" t="inlineStr">
        <is>
          <t>Humana Medicare Advantage</t>
        </is>
      </c>
      <c r="D38" s="12" t="n">
        <v>46246</v>
      </c>
      <c r="E38" s="19" t="inlineStr">
        <is>
          <t>Y</t>
        </is>
      </c>
      <c r="F38" s="12" t="n">
        <v>46248</v>
      </c>
      <c r="G38" s="13" t="n">
        <v>2540</v>
      </c>
      <c r="H38" s="14" t="n">
        <v>5</v>
      </c>
      <c r="I38" s="14" t="n">
        <v>5</v>
      </c>
      <c r="J38" s="14" t="n">
        <v>5</v>
      </c>
      <c r="K38" s="14" t="n">
        <v>1</v>
      </c>
      <c r="L38" s="14" t="n">
        <v>0</v>
      </c>
      <c r="M38" s="14" t="n">
        <v>3</v>
      </c>
      <c r="N38" s="14" t="n">
        <v>0</v>
      </c>
    </row>
    <row r="39">
      <c r="A39" s="19" t="inlineStr">
        <is>
          <t>BW-7034</t>
        </is>
      </c>
      <c r="B39" s="19" t="inlineStr">
        <is>
          <t>P-3163</t>
        </is>
      </c>
      <c r="C39" s="17" t="inlineStr">
        <is>
          <t>Medicare FFS</t>
        </is>
      </c>
      <c r="D39" s="12" t="n">
        <v>46253</v>
      </c>
      <c r="E39" s="19" t="inlineStr">
        <is>
          <t>N</t>
        </is>
      </c>
      <c r="F39" s="12" t="n">
        <v>46225</v>
      </c>
      <c r="G39" s="13" t="n">
        <v>2290</v>
      </c>
      <c r="H39" s="14" t="n">
        <v>4</v>
      </c>
      <c r="I39" s="14" t="n">
        <v>4</v>
      </c>
      <c r="J39" s="14" t="n">
        <v>3</v>
      </c>
      <c r="K39" s="14" t="n">
        <v>0</v>
      </c>
      <c r="L39" s="14" t="n">
        <v>0</v>
      </c>
      <c r="M39" s="14" t="n">
        <v>2</v>
      </c>
      <c r="N39" s="14" t="n">
        <v>0</v>
      </c>
    </row>
    <row r="40">
      <c r="A40" s="19" t="inlineStr">
        <is>
          <t>BW-7035</t>
        </is>
      </c>
      <c r="B40" s="19" t="inlineStr">
        <is>
          <t>P-3202</t>
        </is>
      </c>
      <c r="C40" s="17" t="inlineStr">
        <is>
          <t>Medicare FFS</t>
        </is>
      </c>
      <c r="D40" s="12" t="n">
        <v>46251</v>
      </c>
      <c r="E40" s="19" t="inlineStr">
        <is>
          <t>Y</t>
        </is>
      </c>
      <c r="F40" s="12" t="n">
        <v>46253</v>
      </c>
      <c r="G40" s="13" t="n">
        <v>1960</v>
      </c>
      <c r="H40" s="14" t="n">
        <v>3</v>
      </c>
      <c r="I40" s="14" t="n">
        <v>4</v>
      </c>
      <c r="J40" s="14" t="n">
        <v>2</v>
      </c>
      <c r="K40" s="14" t="n">
        <v>0</v>
      </c>
      <c r="L40" s="14" t="n">
        <v>0</v>
      </c>
      <c r="M40" s="14" t="n">
        <v>2</v>
      </c>
      <c r="N40" s="14" t="n">
        <v>0</v>
      </c>
    </row>
    <row r="41">
      <c r="A41" s="19" t="inlineStr">
        <is>
          <t>BW-7036</t>
        </is>
      </c>
      <c r="B41" s="19" t="inlineStr">
        <is>
          <t>P-3206</t>
        </is>
      </c>
      <c r="C41" s="17" t="inlineStr">
        <is>
          <t>UnitedHealthcare Medicare Advantage</t>
        </is>
      </c>
      <c r="D41" s="12" t="n">
        <v>46254</v>
      </c>
      <c r="E41" s="19" t="inlineStr">
        <is>
          <t>Y</t>
        </is>
      </c>
      <c r="F41" s="12" t="n">
        <v>46256</v>
      </c>
      <c r="G41" s="13" t="n">
        <v>2830</v>
      </c>
      <c r="H41" s="14" t="n">
        <v>5</v>
      </c>
      <c r="I41" s="14" t="n">
        <v>6</v>
      </c>
      <c r="J41" s="14" t="n">
        <v>5</v>
      </c>
      <c r="K41" s="14" t="n">
        <v>1</v>
      </c>
      <c r="L41" s="14" t="n">
        <v>0</v>
      </c>
      <c r="M41" s="14" t="n">
        <v>3</v>
      </c>
      <c r="N41" s="14" t="n">
        <v>1</v>
      </c>
    </row>
    <row r="43">
      <c r="A43" s="20" t="inlineStr">
        <is>
          <t>Total — 36 periods</t>
        </is>
      </c>
      <c r="G43" s="21">
        <f>SUM(G6:G41)</f>
        <v/>
      </c>
      <c r="I43" s="22">
        <f>SUM(I6:I41)</f>
        <v/>
      </c>
      <c r="J43" s="22">
        <f>SUM(J6:J41)</f>
        <v/>
      </c>
      <c r="K43" s="22">
        <f>SUM(K6:K41)</f>
        <v/>
      </c>
      <c r="L43" s="22">
        <f>SUM(L6:L41)</f>
        <v/>
      </c>
      <c r="M43" s="22">
        <f>SUM(M6:M41)</f>
        <v/>
      </c>
      <c r="N43" s="22">
        <f>SUM(N6:N41)</f>
        <v/>
      </c>
    </row>
    <row r="45">
      <c r="A45" s="11" t="inlineStr">
        <is>
          <t>Period rate is the case-mix payment for the full period. LUPA threshold is the visit count below which the period is paid per visit instead. Both come off the EMR.</t>
        </is>
      </c>
    </row>
    <row r="47">
      <c r="A47" s="5" t="n"/>
      <c r="B47" s="5" t="n"/>
      <c r="C47" s="5" t="n"/>
      <c r="D47" s="5" t="n"/>
      <c r="E47" s="5" t="n"/>
      <c r="F47" s="5" t="n"/>
      <c r="G47" s="5" t="n"/>
      <c r="H47" s="5" t="n"/>
      <c r="I47" s="5" t="n"/>
      <c r="J47" s="5" t="n"/>
      <c r="K47" s="5" t="n"/>
      <c r="L47" s="5" t="n"/>
      <c r="M47" s="5" t="n"/>
      <c r="N47" s="5" t="n"/>
    </row>
    <row r="48">
      <c r="A48" s="6" t="inlineStr">
        <is>
          <t>Spreadsheet Studio template v1.0  ·  built for this client, formulas live</t>
        </is>
      </c>
    </row>
  </sheetData>
  <dataValidations count="2">
    <dataValidation sqref="C6:C41" showDropDown="0" showInputMessage="0" showErrorMessage="0" allowBlank="1" type="list">
      <formula1>"Medicare FFS,Humana Medicare Advantage,UnitedHealthcare Medicare Advantage,Medicaid managed care"</formula1>
    </dataValidation>
    <dataValidation sqref="E6:E41" showDropDown="0" showInputMessage="0" showErrorMessage="0" allowBlank="1" type="list">
      <formula1>"Y,N"</formula1>
    </dataValidation>
  </dataValidations>
  <pageMargins left="0.75" right="0.75" top="1" bottom="1" header="0.5" footer="0.5"/>
  <pageSetup orientation="landscape" fitToWidth="1"/>
</worksheet>
</file>

<file path=xl/worksheets/sheet4.xml><?xml version="1.0" encoding="utf-8"?>
<worksheet xmlns="http://schemas.openxmlformats.org/spreadsheetml/2006/main">
  <sheetPr>
    <tabColor rgb="001F6F4A"/>
    <outlinePr summaryBelow="1" summaryRight="1"/>
    <pageSetUpPr fitToPage="1"/>
  </sheetPr>
  <dimension ref="A2:W48"/>
  <sheetViews>
    <sheetView showGridLines="0" zoomScale="110" workbookViewId="0">
      <pane xSplit="3" ySplit="5" topLeftCell="D6" activePane="bottomRight" state="frozen"/>
      <selection pane="topRight"/>
      <selection pane="bottomLeft"/>
      <selection pane="bottomRight" activeCell="A1" sqref="A1"/>
    </sheetView>
  </sheetViews>
  <sheetFormatPr baseColWidth="8" defaultRowHeight="15"/>
  <cols>
    <col width="10" customWidth="1" min="1" max="1"/>
    <col width="9" customWidth="1" min="2" max="2"/>
    <col width="26" customWidth="1" min="3" max="3"/>
    <col width="11" customWidth="1" min="4" max="4"/>
    <col width="11" customWidth="1" min="5" max="5"/>
    <col width="7" customWidth="1" min="6" max="6"/>
    <col width="7" customWidth="1" min="7" max="7"/>
    <col width="8" customWidth="1" min="8" max="8"/>
    <col width="11" customWidth="1" min="9" max="9"/>
    <col width="11" customWidth="1" min="10" max="10"/>
    <col width="8" customWidth="1" min="11" max="11"/>
    <col width="10" customWidth="1" min="12" max="12"/>
    <col width="12" customWidth="1" min="13" max="13"/>
    <col width="11" customWidth="1" min="14" max="14"/>
    <col width="8" customWidth="1" min="15" max="15"/>
    <col width="11" customWidth="1" min="16" max="16"/>
    <col width="9" customWidth="1" min="17" max="17"/>
    <col width="11" customWidth="1" min="18" max="18"/>
    <col width="12" customWidth="1" min="19" max="19"/>
    <col width="9" customWidth="1" min="20" max="20"/>
    <col width="9" customWidth="1" min="21" max="21"/>
    <col width="11" customWidth="1" min="22" max="22"/>
    <col width="9" customWidth="1" min="23" max="23"/>
  </cols>
  <sheetData>
    <row r="2">
      <c r="A2" s="1">
        <f>Client_Name&amp;" — how each period is paid, and when"</f>
        <v/>
      </c>
    </row>
    <row r="3">
      <c r="A3" s="2" t="inlineStr">
        <is>
          <t>Period or LUPA, the late-NOA penalty, then the date the cash lands on that payer's clock. Nothing on this sheet is typed.</t>
        </is>
      </c>
    </row>
    <row r="5">
      <c r="A5" s="16" t="inlineStr">
        <is>
          <t>Period</t>
        </is>
      </c>
      <c r="B5" s="16" t="inlineStr">
        <is>
          <t>Patient</t>
        </is>
      </c>
      <c r="C5" s="16" t="inlineStr">
        <is>
          <t>Payer</t>
        </is>
      </c>
      <c r="D5" s="16" t="inlineStr">
        <is>
          <t>Start</t>
        </is>
      </c>
      <c r="E5" s="16" t="inlineStr">
        <is>
          <t>End</t>
        </is>
      </c>
      <c r="F5" s="16" t="inlineStr">
        <is>
          <t>Visits</t>
        </is>
      </c>
      <c r="G5" s="16" t="inlineStr">
        <is>
          <t>Thr.</t>
        </is>
      </c>
      <c r="H5" s="16" t="inlineStr">
        <is>
          <t>Basis</t>
        </is>
      </c>
      <c r="I5" s="16" t="inlineStr">
        <is>
          <t>Period rate</t>
        </is>
      </c>
      <c r="J5" s="16" t="inlineStr">
        <is>
          <t>LUPA pay</t>
        </is>
      </c>
      <c r="K5" s="16" t="inlineStr">
        <is>
          <t>NOA late</t>
        </is>
      </c>
      <c r="L5" s="16" t="inlineStr">
        <is>
          <t>Penalty</t>
        </is>
      </c>
      <c r="M5" s="16" t="inlineStr">
        <is>
          <t>Expected pay</t>
        </is>
      </c>
      <c r="N5" s="16" t="inlineStr">
        <is>
          <t>Final claim</t>
        </is>
      </c>
      <c r="O5" s="16" t="inlineStr">
        <is>
          <t>Pay lag</t>
        </is>
      </c>
      <c r="P5" s="16" t="inlineStr">
        <is>
          <t>Cash date</t>
        </is>
      </c>
      <c r="Q5" s="16" t="inlineStr">
        <is>
          <t>Cash mo</t>
        </is>
      </c>
      <c r="R5" s="16" t="inlineStr">
        <is>
          <t>Visit cost</t>
        </is>
      </c>
      <c r="S5" s="16" t="inlineStr">
        <is>
          <t>Contribution</t>
        </is>
      </c>
      <c r="T5" s="16" t="inlineStr">
        <is>
          <t>Visit mo</t>
        </is>
      </c>
      <c r="U5" s="16" t="inlineStr">
        <is>
          <t>Short by</t>
        </is>
      </c>
      <c r="V5" s="16" t="inlineStr">
        <is>
          <t>Old revenue</t>
        </is>
      </c>
      <c r="W5" s="16" t="inlineStr">
        <is>
          <t>Old cash mo</t>
        </is>
      </c>
    </row>
    <row r="6">
      <c r="A6" s="23">
        <f>Periods!A6</f>
        <v/>
      </c>
      <c r="B6" s="23">
        <f>Periods!B6</f>
        <v/>
      </c>
      <c r="C6" s="24">
        <f>Periods!C6</f>
        <v/>
      </c>
      <c r="D6" s="25">
        <f>Periods!D6</f>
        <v/>
      </c>
      <c r="E6" s="25">
        <f>D6+29</f>
        <v/>
      </c>
      <c r="F6" s="26">
        <f>SUM(Periods!I6:N6)</f>
        <v/>
      </c>
      <c r="G6" s="26">
        <f>Periods!H6</f>
        <v/>
      </c>
      <c r="H6" s="23">
        <f>IF(F6&lt;G6,"LUPA","Period")</f>
        <v/>
      </c>
      <c r="I6" s="27">
        <f>Periods!G6</f>
        <v/>
      </c>
      <c r="J6" s="27">
        <f>Periods!I6*Lupa_SN+Periods!J6*Lupa_PT+Periods!K6*Lupa_OT+Periods!L6*Lupa_ST+Periods!M6*Lupa_HHA+Periods!N6*Lupa_MSW</f>
        <v/>
      </c>
      <c r="K6" s="26">
        <f>IF(Periods!E6="Y",MAX(0,Periods!F6-D6-NOA_Days),0)</f>
        <v/>
      </c>
      <c r="L6" s="27">
        <f>IF(H6="LUPA",0,MIN(I6,I6*NOA_Penalty*K6))</f>
        <v/>
      </c>
      <c r="M6" s="28">
        <f>IF(H6="LUPA",J6,I6-L6)</f>
        <v/>
      </c>
      <c r="N6" s="25">
        <f>E6+Bill_Lag</f>
        <v/>
      </c>
      <c r="O6" s="29">
        <f>IFERROR(INDEX(Payer_Lag,MATCH(C6,Payer_Names,0)),0)</f>
        <v/>
      </c>
      <c r="P6" s="25">
        <f>N6+O6</f>
        <v/>
      </c>
      <c r="Q6" s="30">
        <f>YEAR(P6)*12+MONTH(P6)</f>
        <v/>
      </c>
      <c r="R6" s="27">
        <f>Periods!I6*Cost_SN+Periods!J6*Cost_PT+Periods!K6*Cost_OT+Periods!L6*Cost_ST+Periods!M6*Cost_HHA+Periods!N6*Cost_MSW</f>
        <v/>
      </c>
      <c r="S6" s="27">
        <f>M6-R6</f>
        <v/>
      </c>
      <c r="T6" s="30">
        <f>YEAR(D6)*12+MONTH(D6)</f>
        <v/>
      </c>
      <c r="U6" s="26">
        <f>MAX(0,G6-F6)</f>
        <v/>
      </c>
      <c r="V6" s="27">
        <f>F6*Old_Per_Visit</f>
        <v/>
      </c>
      <c r="W6" s="30">
        <f>YEAR(D6+Old_Lag)*12+MONTH(D6+Old_Lag)</f>
        <v/>
      </c>
    </row>
    <row r="7">
      <c r="A7" s="23">
        <f>Periods!A7</f>
        <v/>
      </c>
      <c r="B7" s="23">
        <f>Periods!B7</f>
        <v/>
      </c>
      <c r="C7" s="24">
        <f>Periods!C7</f>
        <v/>
      </c>
      <c r="D7" s="25">
        <f>Periods!D7</f>
        <v/>
      </c>
      <c r="E7" s="25">
        <f>D7+29</f>
        <v/>
      </c>
      <c r="F7" s="26">
        <f>SUM(Periods!I7:N7)</f>
        <v/>
      </c>
      <c r="G7" s="26">
        <f>Periods!H7</f>
        <v/>
      </c>
      <c r="H7" s="23">
        <f>IF(F7&lt;G7,"LUPA","Period")</f>
        <v/>
      </c>
      <c r="I7" s="27">
        <f>Periods!G7</f>
        <v/>
      </c>
      <c r="J7" s="27">
        <f>Periods!I7*Lupa_SN+Periods!J7*Lupa_PT+Periods!K7*Lupa_OT+Periods!L7*Lupa_ST+Periods!M7*Lupa_HHA+Periods!N7*Lupa_MSW</f>
        <v/>
      </c>
      <c r="K7" s="26">
        <f>IF(Periods!E7="Y",MAX(0,Periods!F7-D7-NOA_Days),0)</f>
        <v/>
      </c>
      <c r="L7" s="27">
        <f>IF(H7="LUPA",0,MIN(I7,I7*NOA_Penalty*K7))</f>
        <v/>
      </c>
      <c r="M7" s="28">
        <f>IF(H7="LUPA",J7,I7-L7)</f>
        <v/>
      </c>
      <c r="N7" s="25">
        <f>E7+Bill_Lag</f>
        <v/>
      </c>
      <c r="O7" s="29">
        <f>IFERROR(INDEX(Payer_Lag,MATCH(C7,Payer_Names,0)),0)</f>
        <v/>
      </c>
      <c r="P7" s="25">
        <f>N7+O7</f>
        <v/>
      </c>
      <c r="Q7" s="30">
        <f>YEAR(P7)*12+MONTH(P7)</f>
        <v/>
      </c>
      <c r="R7" s="27">
        <f>Periods!I7*Cost_SN+Periods!J7*Cost_PT+Periods!K7*Cost_OT+Periods!L7*Cost_ST+Periods!M7*Cost_HHA+Periods!N7*Cost_MSW</f>
        <v/>
      </c>
      <c r="S7" s="27">
        <f>M7-R7</f>
        <v/>
      </c>
      <c r="T7" s="30">
        <f>YEAR(D7)*12+MONTH(D7)</f>
        <v/>
      </c>
      <c r="U7" s="26">
        <f>MAX(0,G7-F7)</f>
        <v/>
      </c>
      <c r="V7" s="27">
        <f>F7*Old_Per_Visit</f>
        <v/>
      </c>
      <c r="W7" s="30">
        <f>YEAR(D7+Old_Lag)*12+MONTH(D7+Old_Lag)</f>
        <v/>
      </c>
    </row>
    <row r="8">
      <c r="A8" s="23">
        <f>Periods!A8</f>
        <v/>
      </c>
      <c r="B8" s="23">
        <f>Periods!B8</f>
        <v/>
      </c>
      <c r="C8" s="24">
        <f>Periods!C8</f>
        <v/>
      </c>
      <c r="D8" s="25">
        <f>Periods!D8</f>
        <v/>
      </c>
      <c r="E8" s="25">
        <f>D8+29</f>
        <v/>
      </c>
      <c r="F8" s="26">
        <f>SUM(Periods!I8:N8)</f>
        <v/>
      </c>
      <c r="G8" s="26">
        <f>Periods!H8</f>
        <v/>
      </c>
      <c r="H8" s="23">
        <f>IF(F8&lt;G8,"LUPA","Period")</f>
        <v/>
      </c>
      <c r="I8" s="27">
        <f>Periods!G8</f>
        <v/>
      </c>
      <c r="J8" s="27">
        <f>Periods!I8*Lupa_SN+Periods!J8*Lupa_PT+Periods!K8*Lupa_OT+Periods!L8*Lupa_ST+Periods!M8*Lupa_HHA+Periods!N8*Lupa_MSW</f>
        <v/>
      </c>
      <c r="K8" s="26">
        <f>IF(Periods!E8="Y",MAX(0,Periods!F8-D8-NOA_Days),0)</f>
        <v/>
      </c>
      <c r="L8" s="27">
        <f>IF(H8="LUPA",0,MIN(I8,I8*NOA_Penalty*K8))</f>
        <v/>
      </c>
      <c r="M8" s="28">
        <f>IF(H8="LUPA",J8,I8-L8)</f>
        <v/>
      </c>
      <c r="N8" s="25">
        <f>E8+Bill_Lag</f>
        <v/>
      </c>
      <c r="O8" s="29">
        <f>IFERROR(INDEX(Payer_Lag,MATCH(C8,Payer_Names,0)),0)</f>
        <v/>
      </c>
      <c r="P8" s="25">
        <f>N8+O8</f>
        <v/>
      </c>
      <c r="Q8" s="30">
        <f>YEAR(P8)*12+MONTH(P8)</f>
        <v/>
      </c>
      <c r="R8" s="27">
        <f>Periods!I8*Cost_SN+Periods!J8*Cost_PT+Periods!K8*Cost_OT+Periods!L8*Cost_ST+Periods!M8*Cost_HHA+Periods!N8*Cost_MSW</f>
        <v/>
      </c>
      <c r="S8" s="27">
        <f>M8-R8</f>
        <v/>
      </c>
      <c r="T8" s="30">
        <f>YEAR(D8)*12+MONTH(D8)</f>
        <v/>
      </c>
      <c r="U8" s="26">
        <f>MAX(0,G8-F8)</f>
        <v/>
      </c>
      <c r="V8" s="27">
        <f>F8*Old_Per_Visit</f>
        <v/>
      </c>
      <c r="W8" s="30">
        <f>YEAR(D8+Old_Lag)*12+MONTH(D8+Old_Lag)</f>
        <v/>
      </c>
    </row>
    <row r="9">
      <c r="A9" s="23">
        <f>Periods!A9</f>
        <v/>
      </c>
      <c r="B9" s="23">
        <f>Periods!B9</f>
        <v/>
      </c>
      <c r="C9" s="24">
        <f>Periods!C9</f>
        <v/>
      </c>
      <c r="D9" s="25">
        <f>Periods!D9</f>
        <v/>
      </c>
      <c r="E9" s="25">
        <f>D9+29</f>
        <v/>
      </c>
      <c r="F9" s="26">
        <f>SUM(Periods!I9:N9)</f>
        <v/>
      </c>
      <c r="G9" s="26">
        <f>Periods!H9</f>
        <v/>
      </c>
      <c r="H9" s="23">
        <f>IF(F9&lt;G9,"LUPA","Period")</f>
        <v/>
      </c>
      <c r="I9" s="27">
        <f>Periods!G9</f>
        <v/>
      </c>
      <c r="J9" s="27">
        <f>Periods!I9*Lupa_SN+Periods!J9*Lupa_PT+Periods!K9*Lupa_OT+Periods!L9*Lupa_ST+Periods!M9*Lupa_HHA+Periods!N9*Lupa_MSW</f>
        <v/>
      </c>
      <c r="K9" s="26">
        <f>IF(Periods!E9="Y",MAX(0,Periods!F9-D9-NOA_Days),0)</f>
        <v/>
      </c>
      <c r="L9" s="27">
        <f>IF(H9="LUPA",0,MIN(I9,I9*NOA_Penalty*K9))</f>
        <v/>
      </c>
      <c r="M9" s="28">
        <f>IF(H9="LUPA",J9,I9-L9)</f>
        <v/>
      </c>
      <c r="N9" s="25">
        <f>E9+Bill_Lag</f>
        <v/>
      </c>
      <c r="O9" s="29">
        <f>IFERROR(INDEX(Payer_Lag,MATCH(C9,Payer_Names,0)),0)</f>
        <v/>
      </c>
      <c r="P9" s="25">
        <f>N9+O9</f>
        <v/>
      </c>
      <c r="Q9" s="30">
        <f>YEAR(P9)*12+MONTH(P9)</f>
        <v/>
      </c>
      <c r="R9" s="27">
        <f>Periods!I9*Cost_SN+Periods!J9*Cost_PT+Periods!K9*Cost_OT+Periods!L9*Cost_ST+Periods!M9*Cost_HHA+Periods!N9*Cost_MSW</f>
        <v/>
      </c>
      <c r="S9" s="27">
        <f>M9-R9</f>
        <v/>
      </c>
      <c r="T9" s="30">
        <f>YEAR(D9)*12+MONTH(D9)</f>
        <v/>
      </c>
      <c r="U9" s="26">
        <f>MAX(0,G9-F9)</f>
        <v/>
      </c>
      <c r="V9" s="27">
        <f>F9*Old_Per_Visit</f>
        <v/>
      </c>
      <c r="W9" s="30">
        <f>YEAR(D9+Old_Lag)*12+MONTH(D9+Old_Lag)</f>
        <v/>
      </c>
    </row>
    <row r="10">
      <c r="A10" s="23">
        <f>Periods!A10</f>
        <v/>
      </c>
      <c r="B10" s="23">
        <f>Periods!B10</f>
        <v/>
      </c>
      <c r="C10" s="24">
        <f>Periods!C10</f>
        <v/>
      </c>
      <c r="D10" s="25">
        <f>Periods!D10</f>
        <v/>
      </c>
      <c r="E10" s="25">
        <f>D10+29</f>
        <v/>
      </c>
      <c r="F10" s="26">
        <f>SUM(Periods!I10:N10)</f>
        <v/>
      </c>
      <c r="G10" s="26">
        <f>Periods!H10</f>
        <v/>
      </c>
      <c r="H10" s="23">
        <f>IF(F10&lt;G10,"LUPA","Period")</f>
        <v/>
      </c>
      <c r="I10" s="27">
        <f>Periods!G10</f>
        <v/>
      </c>
      <c r="J10" s="27">
        <f>Periods!I10*Lupa_SN+Periods!J10*Lupa_PT+Periods!K10*Lupa_OT+Periods!L10*Lupa_ST+Periods!M10*Lupa_HHA+Periods!N10*Lupa_MSW</f>
        <v/>
      </c>
      <c r="K10" s="26">
        <f>IF(Periods!E10="Y",MAX(0,Periods!F10-D10-NOA_Days),0)</f>
        <v/>
      </c>
      <c r="L10" s="27">
        <f>IF(H10="LUPA",0,MIN(I10,I10*NOA_Penalty*K10))</f>
        <v/>
      </c>
      <c r="M10" s="28">
        <f>IF(H10="LUPA",J10,I10-L10)</f>
        <v/>
      </c>
      <c r="N10" s="25">
        <f>E10+Bill_Lag</f>
        <v/>
      </c>
      <c r="O10" s="29">
        <f>IFERROR(INDEX(Payer_Lag,MATCH(C10,Payer_Names,0)),0)</f>
        <v/>
      </c>
      <c r="P10" s="25">
        <f>N10+O10</f>
        <v/>
      </c>
      <c r="Q10" s="30">
        <f>YEAR(P10)*12+MONTH(P10)</f>
        <v/>
      </c>
      <c r="R10" s="27">
        <f>Periods!I10*Cost_SN+Periods!J10*Cost_PT+Periods!K10*Cost_OT+Periods!L10*Cost_ST+Periods!M10*Cost_HHA+Periods!N10*Cost_MSW</f>
        <v/>
      </c>
      <c r="S10" s="27">
        <f>M10-R10</f>
        <v/>
      </c>
      <c r="T10" s="30">
        <f>YEAR(D10)*12+MONTH(D10)</f>
        <v/>
      </c>
      <c r="U10" s="26">
        <f>MAX(0,G10-F10)</f>
        <v/>
      </c>
      <c r="V10" s="27">
        <f>F10*Old_Per_Visit</f>
        <v/>
      </c>
      <c r="W10" s="30">
        <f>YEAR(D10+Old_Lag)*12+MONTH(D10+Old_Lag)</f>
        <v/>
      </c>
    </row>
    <row r="11">
      <c r="A11" s="23">
        <f>Periods!A11</f>
        <v/>
      </c>
      <c r="B11" s="23">
        <f>Periods!B11</f>
        <v/>
      </c>
      <c r="C11" s="24">
        <f>Periods!C11</f>
        <v/>
      </c>
      <c r="D11" s="25">
        <f>Periods!D11</f>
        <v/>
      </c>
      <c r="E11" s="25">
        <f>D11+29</f>
        <v/>
      </c>
      <c r="F11" s="26">
        <f>SUM(Periods!I11:N11)</f>
        <v/>
      </c>
      <c r="G11" s="26">
        <f>Periods!H11</f>
        <v/>
      </c>
      <c r="H11" s="23">
        <f>IF(F11&lt;G11,"LUPA","Period")</f>
        <v/>
      </c>
      <c r="I11" s="27">
        <f>Periods!G11</f>
        <v/>
      </c>
      <c r="J11" s="27">
        <f>Periods!I11*Lupa_SN+Periods!J11*Lupa_PT+Periods!K11*Lupa_OT+Periods!L11*Lupa_ST+Periods!M11*Lupa_HHA+Periods!N11*Lupa_MSW</f>
        <v/>
      </c>
      <c r="K11" s="26">
        <f>IF(Periods!E11="Y",MAX(0,Periods!F11-D11-NOA_Days),0)</f>
        <v/>
      </c>
      <c r="L11" s="27">
        <f>IF(H11="LUPA",0,MIN(I11,I11*NOA_Penalty*K11))</f>
        <v/>
      </c>
      <c r="M11" s="28">
        <f>IF(H11="LUPA",J11,I11-L11)</f>
        <v/>
      </c>
      <c r="N11" s="25">
        <f>E11+Bill_Lag</f>
        <v/>
      </c>
      <c r="O11" s="29">
        <f>IFERROR(INDEX(Payer_Lag,MATCH(C11,Payer_Names,0)),0)</f>
        <v/>
      </c>
      <c r="P11" s="25">
        <f>N11+O11</f>
        <v/>
      </c>
      <c r="Q11" s="30">
        <f>YEAR(P11)*12+MONTH(P11)</f>
        <v/>
      </c>
      <c r="R11" s="27">
        <f>Periods!I11*Cost_SN+Periods!J11*Cost_PT+Periods!K11*Cost_OT+Periods!L11*Cost_ST+Periods!M11*Cost_HHA+Periods!N11*Cost_MSW</f>
        <v/>
      </c>
      <c r="S11" s="27">
        <f>M11-R11</f>
        <v/>
      </c>
      <c r="T11" s="30">
        <f>YEAR(D11)*12+MONTH(D11)</f>
        <v/>
      </c>
      <c r="U11" s="26">
        <f>MAX(0,G11-F11)</f>
        <v/>
      </c>
      <c r="V11" s="27">
        <f>F11*Old_Per_Visit</f>
        <v/>
      </c>
      <c r="W11" s="30">
        <f>YEAR(D11+Old_Lag)*12+MONTH(D11+Old_Lag)</f>
        <v/>
      </c>
    </row>
    <row r="12">
      <c r="A12" s="23">
        <f>Periods!A12</f>
        <v/>
      </c>
      <c r="B12" s="23">
        <f>Periods!B12</f>
        <v/>
      </c>
      <c r="C12" s="24">
        <f>Periods!C12</f>
        <v/>
      </c>
      <c r="D12" s="25">
        <f>Periods!D12</f>
        <v/>
      </c>
      <c r="E12" s="25">
        <f>D12+29</f>
        <v/>
      </c>
      <c r="F12" s="26">
        <f>SUM(Periods!I12:N12)</f>
        <v/>
      </c>
      <c r="G12" s="26">
        <f>Periods!H12</f>
        <v/>
      </c>
      <c r="H12" s="23">
        <f>IF(F12&lt;G12,"LUPA","Period")</f>
        <v/>
      </c>
      <c r="I12" s="27">
        <f>Periods!G12</f>
        <v/>
      </c>
      <c r="J12" s="27">
        <f>Periods!I12*Lupa_SN+Periods!J12*Lupa_PT+Periods!K12*Lupa_OT+Periods!L12*Lupa_ST+Periods!M12*Lupa_HHA+Periods!N12*Lupa_MSW</f>
        <v/>
      </c>
      <c r="K12" s="26">
        <f>IF(Periods!E12="Y",MAX(0,Periods!F12-D12-NOA_Days),0)</f>
        <v/>
      </c>
      <c r="L12" s="27">
        <f>IF(H12="LUPA",0,MIN(I12,I12*NOA_Penalty*K12))</f>
        <v/>
      </c>
      <c r="M12" s="28">
        <f>IF(H12="LUPA",J12,I12-L12)</f>
        <v/>
      </c>
      <c r="N12" s="25">
        <f>E12+Bill_Lag</f>
        <v/>
      </c>
      <c r="O12" s="29">
        <f>IFERROR(INDEX(Payer_Lag,MATCH(C12,Payer_Names,0)),0)</f>
        <v/>
      </c>
      <c r="P12" s="25">
        <f>N12+O12</f>
        <v/>
      </c>
      <c r="Q12" s="30">
        <f>YEAR(P12)*12+MONTH(P12)</f>
        <v/>
      </c>
      <c r="R12" s="27">
        <f>Periods!I12*Cost_SN+Periods!J12*Cost_PT+Periods!K12*Cost_OT+Periods!L12*Cost_ST+Periods!M12*Cost_HHA+Periods!N12*Cost_MSW</f>
        <v/>
      </c>
      <c r="S12" s="27">
        <f>M12-R12</f>
        <v/>
      </c>
      <c r="T12" s="30">
        <f>YEAR(D12)*12+MONTH(D12)</f>
        <v/>
      </c>
      <c r="U12" s="26">
        <f>MAX(0,G12-F12)</f>
        <v/>
      </c>
      <c r="V12" s="27">
        <f>F12*Old_Per_Visit</f>
        <v/>
      </c>
      <c r="W12" s="30">
        <f>YEAR(D12+Old_Lag)*12+MONTH(D12+Old_Lag)</f>
        <v/>
      </c>
    </row>
    <row r="13">
      <c r="A13" s="23">
        <f>Periods!A13</f>
        <v/>
      </c>
      <c r="B13" s="23">
        <f>Periods!B13</f>
        <v/>
      </c>
      <c r="C13" s="24">
        <f>Periods!C13</f>
        <v/>
      </c>
      <c r="D13" s="25">
        <f>Periods!D13</f>
        <v/>
      </c>
      <c r="E13" s="25">
        <f>D13+29</f>
        <v/>
      </c>
      <c r="F13" s="26">
        <f>SUM(Periods!I13:N13)</f>
        <v/>
      </c>
      <c r="G13" s="26">
        <f>Periods!H13</f>
        <v/>
      </c>
      <c r="H13" s="23">
        <f>IF(F13&lt;G13,"LUPA","Period")</f>
        <v/>
      </c>
      <c r="I13" s="27">
        <f>Periods!G13</f>
        <v/>
      </c>
      <c r="J13" s="27">
        <f>Periods!I13*Lupa_SN+Periods!J13*Lupa_PT+Periods!K13*Lupa_OT+Periods!L13*Lupa_ST+Periods!M13*Lupa_HHA+Periods!N13*Lupa_MSW</f>
        <v/>
      </c>
      <c r="K13" s="26">
        <f>IF(Periods!E13="Y",MAX(0,Periods!F13-D13-NOA_Days),0)</f>
        <v/>
      </c>
      <c r="L13" s="27">
        <f>IF(H13="LUPA",0,MIN(I13,I13*NOA_Penalty*K13))</f>
        <v/>
      </c>
      <c r="M13" s="28">
        <f>IF(H13="LUPA",J13,I13-L13)</f>
        <v/>
      </c>
      <c r="N13" s="25">
        <f>E13+Bill_Lag</f>
        <v/>
      </c>
      <c r="O13" s="29">
        <f>IFERROR(INDEX(Payer_Lag,MATCH(C13,Payer_Names,0)),0)</f>
        <v/>
      </c>
      <c r="P13" s="25">
        <f>N13+O13</f>
        <v/>
      </c>
      <c r="Q13" s="30">
        <f>YEAR(P13)*12+MONTH(P13)</f>
        <v/>
      </c>
      <c r="R13" s="27">
        <f>Periods!I13*Cost_SN+Periods!J13*Cost_PT+Periods!K13*Cost_OT+Periods!L13*Cost_ST+Periods!M13*Cost_HHA+Periods!N13*Cost_MSW</f>
        <v/>
      </c>
      <c r="S13" s="27">
        <f>M13-R13</f>
        <v/>
      </c>
      <c r="T13" s="30">
        <f>YEAR(D13)*12+MONTH(D13)</f>
        <v/>
      </c>
      <c r="U13" s="26">
        <f>MAX(0,G13-F13)</f>
        <v/>
      </c>
      <c r="V13" s="27">
        <f>F13*Old_Per_Visit</f>
        <v/>
      </c>
      <c r="W13" s="30">
        <f>YEAR(D13+Old_Lag)*12+MONTH(D13+Old_Lag)</f>
        <v/>
      </c>
    </row>
    <row r="14">
      <c r="A14" s="23">
        <f>Periods!A14</f>
        <v/>
      </c>
      <c r="B14" s="23">
        <f>Periods!B14</f>
        <v/>
      </c>
      <c r="C14" s="24">
        <f>Periods!C14</f>
        <v/>
      </c>
      <c r="D14" s="25">
        <f>Periods!D14</f>
        <v/>
      </c>
      <c r="E14" s="25">
        <f>D14+29</f>
        <v/>
      </c>
      <c r="F14" s="26">
        <f>SUM(Periods!I14:N14)</f>
        <v/>
      </c>
      <c r="G14" s="26">
        <f>Periods!H14</f>
        <v/>
      </c>
      <c r="H14" s="23">
        <f>IF(F14&lt;G14,"LUPA","Period")</f>
        <v/>
      </c>
      <c r="I14" s="27">
        <f>Periods!G14</f>
        <v/>
      </c>
      <c r="J14" s="27">
        <f>Periods!I14*Lupa_SN+Periods!J14*Lupa_PT+Periods!K14*Lupa_OT+Periods!L14*Lupa_ST+Periods!M14*Lupa_HHA+Periods!N14*Lupa_MSW</f>
        <v/>
      </c>
      <c r="K14" s="26">
        <f>IF(Periods!E14="Y",MAX(0,Periods!F14-D14-NOA_Days),0)</f>
        <v/>
      </c>
      <c r="L14" s="27">
        <f>IF(H14="LUPA",0,MIN(I14,I14*NOA_Penalty*K14))</f>
        <v/>
      </c>
      <c r="M14" s="28">
        <f>IF(H14="LUPA",J14,I14-L14)</f>
        <v/>
      </c>
      <c r="N14" s="25">
        <f>E14+Bill_Lag</f>
        <v/>
      </c>
      <c r="O14" s="29">
        <f>IFERROR(INDEX(Payer_Lag,MATCH(C14,Payer_Names,0)),0)</f>
        <v/>
      </c>
      <c r="P14" s="25">
        <f>N14+O14</f>
        <v/>
      </c>
      <c r="Q14" s="30">
        <f>YEAR(P14)*12+MONTH(P14)</f>
        <v/>
      </c>
      <c r="R14" s="27">
        <f>Periods!I14*Cost_SN+Periods!J14*Cost_PT+Periods!K14*Cost_OT+Periods!L14*Cost_ST+Periods!M14*Cost_HHA+Periods!N14*Cost_MSW</f>
        <v/>
      </c>
      <c r="S14" s="27">
        <f>M14-R14</f>
        <v/>
      </c>
      <c r="T14" s="30">
        <f>YEAR(D14)*12+MONTH(D14)</f>
        <v/>
      </c>
      <c r="U14" s="26">
        <f>MAX(0,G14-F14)</f>
        <v/>
      </c>
      <c r="V14" s="27">
        <f>F14*Old_Per_Visit</f>
        <v/>
      </c>
      <c r="W14" s="30">
        <f>YEAR(D14+Old_Lag)*12+MONTH(D14+Old_Lag)</f>
        <v/>
      </c>
    </row>
    <row r="15">
      <c r="A15" s="23">
        <f>Periods!A15</f>
        <v/>
      </c>
      <c r="B15" s="23">
        <f>Periods!B15</f>
        <v/>
      </c>
      <c r="C15" s="24">
        <f>Periods!C15</f>
        <v/>
      </c>
      <c r="D15" s="25">
        <f>Periods!D15</f>
        <v/>
      </c>
      <c r="E15" s="25">
        <f>D15+29</f>
        <v/>
      </c>
      <c r="F15" s="26">
        <f>SUM(Periods!I15:N15)</f>
        <v/>
      </c>
      <c r="G15" s="26">
        <f>Periods!H15</f>
        <v/>
      </c>
      <c r="H15" s="23">
        <f>IF(F15&lt;G15,"LUPA","Period")</f>
        <v/>
      </c>
      <c r="I15" s="27">
        <f>Periods!G15</f>
        <v/>
      </c>
      <c r="J15" s="27">
        <f>Periods!I15*Lupa_SN+Periods!J15*Lupa_PT+Periods!K15*Lupa_OT+Periods!L15*Lupa_ST+Periods!M15*Lupa_HHA+Periods!N15*Lupa_MSW</f>
        <v/>
      </c>
      <c r="K15" s="26">
        <f>IF(Periods!E15="Y",MAX(0,Periods!F15-D15-NOA_Days),0)</f>
        <v/>
      </c>
      <c r="L15" s="27">
        <f>IF(H15="LUPA",0,MIN(I15,I15*NOA_Penalty*K15))</f>
        <v/>
      </c>
      <c r="M15" s="28">
        <f>IF(H15="LUPA",J15,I15-L15)</f>
        <v/>
      </c>
      <c r="N15" s="25">
        <f>E15+Bill_Lag</f>
        <v/>
      </c>
      <c r="O15" s="29">
        <f>IFERROR(INDEX(Payer_Lag,MATCH(C15,Payer_Names,0)),0)</f>
        <v/>
      </c>
      <c r="P15" s="25">
        <f>N15+O15</f>
        <v/>
      </c>
      <c r="Q15" s="30">
        <f>YEAR(P15)*12+MONTH(P15)</f>
        <v/>
      </c>
      <c r="R15" s="27">
        <f>Periods!I15*Cost_SN+Periods!J15*Cost_PT+Periods!K15*Cost_OT+Periods!L15*Cost_ST+Periods!M15*Cost_HHA+Periods!N15*Cost_MSW</f>
        <v/>
      </c>
      <c r="S15" s="27">
        <f>M15-R15</f>
        <v/>
      </c>
      <c r="T15" s="30">
        <f>YEAR(D15)*12+MONTH(D15)</f>
        <v/>
      </c>
      <c r="U15" s="26">
        <f>MAX(0,G15-F15)</f>
        <v/>
      </c>
      <c r="V15" s="27">
        <f>F15*Old_Per_Visit</f>
        <v/>
      </c>
      <c r="W15" s="30">
        <f>YEAR(D15+Old_Lag)*12+MONTH(D15+Old_Lag)</f>
        <v/>
      </c>
    </row>
    <row r="16">
      <c r="A16" s="23">
        <f>Periods!A16</f>
        <v/>
      </c>
      <c r="B16" s="23">
        <f>Periods!B16</f>
        <v/>
      </c>
      <c r="C16" s="24">
        <f>Periods!C16</f>
        <v/>
      </c>
      <c r="D16" s="25">
        <f>Periods!D16</f>
        <v/>
      </c>
      <c r="E16" s="25">
        <f>D16+29</f>
        <v/>
      </c>
      <c r="F16" s="26">
        <f>SUM(Periods!I16:N16)</f>
        <v/>
      </c>
      <c r="G16" s="26">
        <f>Periods!H16</f>
        <v/>
      </c>
      <c r="H16" s="23">
        <f>IF(F16&lt;G16,"LUPA","Period")</f>
        <v/>
      </c>
      <c r="I16" s="27">
        <f>Periods!G16</f>
        <v/>
      </c>
      <c r="J16" s="27">
        <f>Periods!I16*Lupa_SN+Periods!J16*Lupa_PT+Periods!K16*Lupa_OT+Periods!L16*Lupa_ST+Periods!M16*Lupa_HHA+Periods!N16*Lupa_MSW</f>
        <v/>
      </c>
      <c r="K16" s="26">
        <f>IF(Periods!E16="Y",MAX(0,Periods!F16-D16-NOA_Days),0)</f>
        <v/>
      </c>
      <c r="L16" s="27">
        <f>IF(H16="LUPA",0,MIN(I16,I16*NOA_Penalty*K16))</f>
        <v/>
      </c>
      <c r="M16" s="28">
        <f>IF(H16="LUPA",J16,I16-L16)</f>
        <v/>
      </c>
      <c r="N16" s="25">
        <f>E16+Bill_Lag</f>
        <v/>
      </c>
      <c r="O16" s="29">
        <f>IFERROR(INDEX(Payer_Lag,MATCH(C16,Payer_Names,0)),0)</f>
        <v/>
      </c>
      <c r="P16" s="25">
        <f>N16+O16</f>
        <v/>
      </c>
      <c r="Q16" s="30">
        <f>YEAR(P16)*12+MONTH(P16)</f>
        <v/>
      </c>
      <c r="R16" s="27">
        <f>Periods!I16*Cost_SN+Periods!J16*Cost_PT+Periods!K16*Cost_OT+Periods!L16*Cost_ST+Periods!M16*Cost_HHA+Periods!N16*Cost_MSW</f>
        <v/>
      </c>
      <c r="S16" s="27">
        <f>M16-R16</f>
        <v/>
      </c>
      <c r="T16" s="30">
        <f>YEAR(D16)*12+MONTH(D16)</f>
        <v/>
      </c>
      <c r="U16" s="26">
        <f>MAX(0,G16-F16)</f>
        <v/>
      </c>
      <c r="V16" s="27">
        <f>F16*Old_Per_Visit</f>
        <v/>
      </c>
      <c r="W16" s="30">
        <f>YEAR(D16+Old_Lag)*12+MONTH(D16+Old_Lag)</f>
        <v/>
      </c>
    </row>
    <row r="17">
      <c r="A17" s="23">
        <f>Periods!A17</f>
        <v/>
      </c>
      <c r="B17" s="23">
        <f>Periods!B17</f>
        <v/>
      </c>
      <c r="C17" s="24">
        <f>Periods!C17</f>
        <v/>
      </c>
      <c r="D17" s="25">
        <f>Periods!D17</f>
        <v/>
      </c>
      <c r="E17" s="25">
        <f>D17+29</f>
        <v/>
      </c>
      <c r="F17" s="26">
        <f>SUM(Periods!I17:N17)</f>
        <v/>
      </c>
      <c r="G17" s="26">
        <f>Periods!H17</f>
        <v/>
      </c>
      <c r="H17" s="23">
        <f>IF(F17&lt;G17,"LUPA","Period")</f>
        <v/>
      </c>
      <c r="I17" s="27">
        <f>Periods!G17</f>
        <v/>
      </c>
      <c r="J17" s="27">
        <f>Periods!I17*Lupa_SN+Periods!J17*Lupa_PT+Periods!K17*Lupa_OT+Periods!L17*Lupa_ST+Periods!M17*Lupa_HHA+Periods!N17*Lupa_MSW</f>
        <v/>
      </c>
      <c r="K17" s="26">
        <f>IF(Periods!E17="Y",MAX(0,Periods!F17-D17-NOA_Days),0)</f>
        <v/>
      </c>
      <c r="L17" s="27">
        <f>IF(H17="LUPA",0,MIN(I17,I17*NOA_Penalty*K17))</f>
        <v/>
      </c>
      <c r="M17" s="28">
        <f>IF(H17="LUPA",J17,I17-L17)</f>
        <v/>
      </c>
      <c r="N17" s="25">
        <f>E17+Bill_Lag</f>
        <v/>
      </c>
      <c r="O17" s="29">
        <f>IFERROR(INDEX(Payer_Lag,MATCH(C17,Payer_Names,0)),0)</f>
        <v/>
      </c>
      <c r="P17" s="25">
        <f>N17+O17</f>
        <v/>
      </c>
      <c r="Q17" s="30">
        <f>YEAR(P17)*12+MONTH(P17)</f>
        <v/>
      </c>
      <c r="R17" s="27">
        <f>Periods!I17*Cost_SN+Periods!J17*Cost_PT+Periods!K17*Cost_OT+Periods!L17*Cost_ST+Periods!M17*Cost_HHA+Periods!N17*Cost_MSW</f>
        <v/>
      </c>
      <c r="S17" s="27">
        <f>M17-R17</f>
        <v/>
      </c>
      <c r="T17" s="30">
        <f>YEAR(D17)*12+MONTH(D17)</f>
        <v/>
      </c>
      <c r="U17" s="26">
        <f>MAX(0,G17-F17)</f>
        <v/>
      </c>
      <c r="V17" s="27">
        <f>F17*Old_Per_Visit</f>
        <v/>
      </c>
      <c r="W17" s="30">
        <f>YEAR(D17+Old_Lag)*12+MONTH(D17+Old_Lag)</f>
        <v/>
      </c>
    </row>
    <row r="18">
      <c r="A18" s="23">
        <f>Periods!A18</f>
        <v/>
      </c>
      <c r="B18" s="23">
        <f>Periods!B18</f>
        <v/>
      </c>
      <c r="C18" s="24">
        <f>Periods!C18</f>
        <v/>
      </c>
      <c r="D18" s="25">
        <f>Periods!D18</f>
        <v/>
      </c>
      <c r="E18" s="25">
        <f>D18+29</f>
        <v/>
      </c>
      <c r="F18" s="26">
        <f>SUM(Periods!I18:N18)</f>
        <v/>
      </c>
      <c r="G18" s="26">
        <f>Periods!H18</f>
        <v/>
      </c>
      <c r="H18" s="23">
        <f>IF(F18&lt;G18,"LUPA","Period")</f>
        <v/>
      </c>
      <c r="I18" s="27">
        <f>Periods!G18</f>
        <v/>
      </c>
      <c r="J18" s="27">
        <f>Periods!I18*Lupa_SN+Periods!J18*Lupa_PT+Periods!K18*Lupa_OT+Periods!L18*Lupa_ST+Periods!M18*Lupa_HHA+Periods!N18*Lupa_MSW</f>
        <v/>
      </c>
      <c r="K18" s="26">
        <f>IF(Periods!E18="Y",MAX(0,Periods!F18-D18-NOA_Days),0)</f>
        <v/>
      </c>
      <c r="L18" s="27">
        <f>IF(H18="LUPA",0,MIN(I18,I18*NOA_Penalty*K18))</f>
        <v/>
      </c>
      <c r="M18" s="28">
        <f>IF(H18="LUPA",J18,I18-L18)</f>
        <v/>
      </c>
      <c r="N18" s="25">
        <f>E18+Bill_Lag</f>
        <v/>
      </c>
      <c r="O18" s="29">
        <f>IFERROR(INDEX(Payer_Lag,MATCH(C18,Payer_Names,0)),0)</f>
        <v/>
      </c>
      <c r="P18" s="25">
        <f>N18+O18</f>
        <v/>
      </c>
      <c r="Q18" s="30">
        <f>YEAR(P18)*12+MONTH(P18)</f>
        <v/>
      </c>
      <c r="R18" s="27">
        <f>Periods!I18*Cost_SN+Periods!J18*Cost_PT+Periods!K18*Cost_OT+Periods!L18*Cost_ST+Periods!M18*Cost_HHA+Periods!N18*Cost_MSW</f>
        <v/>
      </c>
      <c r="S18" s="27">
        <f>M18-R18</f>
        <v/>
      </c>
      <c r="T18" s="30">
        <f>YEAR(D18)*12+MONTH(D18)</f>
        <v/>
      </c>
      <c r="U18" s="26">
        <f>MAX(0,G18-F18)</f>
        <v/>
      </c>
      <c r="V18" s="27">
        <f>F18*Old_Per_Visit</f>
        <v/>
      </c>
      <c r="W18" s="30">
        <f>YEAR(D18+Old_Lag)*12+MONTH(D18+Old_Lag)</f>
        <v/>
      </c>
    </row>
    <row r="19">
      <c r="A19" s="23">
        <f>Periods!A19</f>
        <v/>
      </c>
      <c r="B19" s="23">
        <f>Periods!B19</f>
        <v/>
      </c>
      <c r="C19" s="24">
        <f>Periods!C19</f>
        <v/>
      </c>
      <c r="D19" s="25">
        <f>Periods!D19</f>
        <v/>
      </c>
      <c r="E19" s="25">
        <f>D19+29</f>
        <v/>
      </c>
      <c r="F19" s="26">
        <f>SUM(Periods!I19:N19)</f>
        <v/>
      </c>
      <c r="G19" s="26">
        <f>Periods!H19</f>
        <v/>
      </c>
      <c r="H19" s="23">
        <f>IF(F19&lt;G19,"LUPA","Period")</f>
        <v/>
      </c>
      <c r="I19" s="27">
        <f>Periods!G19</f>
        <v/>
      </c>
      <c r="J19" s="27">
        <f>Periods!I19*Lupa_SN+Periods!J19*Lupa_PT+Periods!K19*Lupa_OT+Periods!L19*Lupa_ST+Periods!M19*Lupa_HHA+Periods!N19*Lupa_MSW</f>
        <v/>
      </c>
      <c r="K19" s="26">
        <f>IF(Periods!E19="Y",MAX(0,Periods!F19-D19-NOA_Days),0)</f>
        <v/>
      </c>
      <c r="L19" s="27">
        <f>IF(H19="LUPA",0,MIN(I19,I19*NOA_Penalty*K19))</f>
        <v/>
      </c>
      <c r="M19" s="28">
        <f>IF(H19="LUPA",J19,I19-L19)</f>
        <v/>
      </c>
      <c r="N19" s="25">
        <f>E19+Bill_Lag</f>
        <v/>
      </c>
      <c r="O19" s="29">
        <f>IFERROR(INDEX(Payer_Lag,MATCH(C19,Payer_Names,0)),0)</f>
        <v/>
      </c>
      <c r="P19" s="25">
        <f>N19+O19</f>
        <v/>
      </c>
      <c r="Q19" s="30">
        <f>YEAR(P19)*12+MONTH(P19)</f>
        <v/>
      </c>
      <c r="R19" s="27">
        <f>Periods!I19*Cost_SN+Periods!J19*Cost_PT+Periods!K19*Cost_OT+Periods!L19*Cost_ST+Periods!M19*Cost_HHA+Periods!N19*Cost_MSW</f>
        <v/>
      </c>
      <c r="S19" s="27">
        <f>M19-R19</f>
        <v/>
      </c>
      <c r="T19" s="30">
        <f>YEAR(D19)*12+MONTH(D19)</f>
        <v/>
      </c>
      <c r="U19" s="26">
        <f>MAX(0,G19-F19)</f>
        <v/>
      </c>
      <c r="V19" s="27">
        <f>F19*Old_Per_Visit</f>
        <v/>
      </c>
      <c r="W19" s="30">
        <f>YEAR(D19+Old_Lag)*12+MONTH(D19+Old_Lag)</f>
        <v/>
      </c>
    </row>
    <row r="20">
      <c r="A20" s="23">
        <f>Periods!A20</f>
        <v/>
      </c>
      <c r="B20" s="23">
        <f>Periods!B20</f>
        <v/>
      </c>
      <c r="C20" s="24">
        <f>Periods!C20</f>
        <v/>
      </c>
      <c r="D20" s="25">
        <f>Periods!D20</f>
        <v/>
      </c>
      <c r="E20" s="25">
        <f>D20+29</f>
        <v/>
      </c>
      <c r="F20" s="26">
        <f>SUM(Periods!I20:N20)</f>
        <v/>
      </c>
      <c r="G20" s="26">
        <f>Periods!H20</f>
        <v/>
      </c>
      <c r="H20" s="23">
        <f>IF(F20&lt;G20,"LUPA","Period")</f>
        <v/>
      </c>
      <c r="I20" s="27">
        <f>Periods!G20</f>
        <v/>
      </c>
      <c r="J20" s="27">
        <f>Periods!I20*Lupa_SN+Periods!J20*Lupa_PT+Periods!K20*Lupa_OT+Periods!L20*Lupa_ST+Periods!M20*Lupa_HHA+Periods!N20*Lupa_MSW</f>
        <v/>
      </c>
      <c r="K20" s="26">
        <f>IF(Periods!E20="Y",MAX(0,Periods!F20-D20-NOA_Days),0)</f>
        <v/>
      </c>
      <c r="L20" s="27">
        <f>IF(H20="LUPA",0,MIN(I20,I20*NOA_Penalty*K20))</f>
        <v/>
      </c>
      <c r="M20" s="28">
        <f>IF(H20="LUPA",J20,I20-L20)</f>
        <v/>
      </c>
      <c r="N20" s="25">
        <f>E20+Bill_Lag</f>
        <v/>
      </c>
      <c r="O20" s="29">
        <f>IFERROR(INDEX(Payer_Lag,MATCH(C20,Payer_Names,0)),0)</f>
        <v/>
      </c>
      <c r="P20" s="25">
        <f>N20+O20</f>
        <v/>
      </c>
      <c r="Q20" s="30">
        <f>YEAR(P20)*12+MONTH(P20)</f>
        <v/>
      </c>
      <c r="R20" s="27">
        <f>Periods!I20*Cost_SN+Periods!J20*Cost_PT+Periods!K20*Cost_OT+Periods!L20*Cost_ST+Periods!M20*Cost_HHA+Periods!N20*Cost_MSW</f>
        <v/>
      </c>
      <c r="S20" s="27">
        <f>M20-R20</f>
        <v/>
      </c>
      <c r="T20" s="30">
        <f>YEAR(D20)*12+MONTH(D20)</f>
        <v/>
      </c>
      <c r="U20" s="26">
        <f>MAX(0,G20-F20)</f>
        <v/>
      </c>
      <c r="V20" s="27">
        <f>F20*Old_Per_Visit</f>
        <v/>
      </c>
      <c r="W20" s="30">
        <f>YEAR(D20+Old_Lag)*12+MONTH(D20+Old_Lag)</f>
        <v/>
      </c>
    </row>
    <row r="21">
      <c r="A21" s="23">
        <f>Periods!A21</f>
        <v/>
      </c>
      <c r="B21" s="23">
        <f>Periods!B21</f>
        <v/>
      </c>
      <c r="C21" s="24">
        <f>Periods!C21</f>
        <v/>
      </c>
      <c r="D21" s="25">
        <f>Periods!D21</f>
        <v/>
      </c>
      <c r="E21" s="25">
        <f>D21+29</f>
        <v/>
      </c>
      <c r="F21" s="26">
        <f>SUM(Periods!I21:N21)</f>
        <v/>
      </c>
      <c r="G21" s="26">
        <f>Periods!H21</f>
        <v/>
      </c>
      <c r="H21" s="23">
        <f>IF(F21&lt;G21,"LUPA","Period")</f>
        <v/>
      </c>
      <c r="I21" s="27">
        <f>Periods!G21</f>
        <v/>
      </c>
      <c r="J21" s="27">
        <f>Periods!I21*Lupa_SN+Periods!J21*Lupa_PT+Periods!K21*Lupa_OT+Periods!L21*Lupa_ST+Periods!M21*Lupa_HHA+Periods!N21*Lupa_MSW</f>
        <v/>
      </c>
      <c r="K21" s="26">
        <f>IF(Periods!E21="Y",MAX(0,Periods!F21-D21-NOA_Days),0)</f>
        <v/>
      </c>
      <c r="L21" s="27">
        <f>IF(H21="LUPA",0,MIN(I21,I21*NOA_Penalty*K21))</f>
        <v/>
      </c>
      <c r="M21" s="28">
        <f>IF(H21="LUPA",J21,I21-L21)</f>
        <v/>
      </c>
      <c r="N21" s="25">
        <f>E21+Bill_Lag</f>
        <v/>
      </c>
      <c r="O21" s="29">
        <f>IFERROR(INDEX(Payer_Lag,MATCH(C21,Payer_Names,0)),0)</f>
        <v/>
      </c>
      <c r="P21" s="25">
        <f>N21+O21</f>
        <v/>
      </c>
      <c r="Q21" s="30">
        <f>YEAR(P21)*12+MONTH(P21)</f>
        <v/>
      </c>
      <c r="R21" s="27">
        <f>Periods!I21*Cost_SN+Periods!J21*Cost_PT+Periods!K21*Cost_OT+Periods!L21*Cost_ST+Periods!M21*Cost_HHA+Periods!N21*Cost_MSW</f>
        <v/>
      </c>
      <c r="S21" s="27">
        <f>M21-R21</f>
        <v/>
      </c>
      <c r="T21" s="30">
        <f>YEAR(D21)*12+MONTH(D21)</f>
        <v/>
      </c>
      <c r="U21" s="26">
        <f>MAX(0,G21-F21)</f>
        <v/>
      </c>
      <c r="V21" s="27">
        <f>F21*Old_Per_Visit</f>
        <v/>
      </c>
      <c r="W21" s="30">
        <f>YEAR(D21+Old_Lag)*12+MONTH(D21+Old_Lag)</f>
        <v/>
      </c>
    </row>
    <row r="22">
      <c r="A22" s="23">
        <f>Periods!A22</f>
        <v/>
      </c>
      <c r="B22" s="23">
        <f>Periods!B22</f>
        <v/>
      </c>
      <c r="C22" s="24">
        <f>Periods!C22</f>
        <v/>
      </c>
      <c r="D22" s="25">
        <f>Periods!D22</f>
        <v/>
      </c>
      <c r="E22" s="25">
        <f>D22+29</f>
        <v/>
      </c>
      <c r="F22" s="26">
        <f>SUM(Periods!I22:N22)</f>
        <v/>
      </c>
      <c r="G22" s="26">
        <f>Periods!H22</f>
        <v/>
      </c>
      <c r="H22" s="23">
        <f>IF(F22&lt;G22,"LUPA","Period")</f>
        <v/>
      </c>
      <c r="I22" s="27">
        <f>Periods!G22</f>
        <v/>
      </c>
      <c r="J22" s="27">
        <f>Periods!I22*Lupa_SN+Periods!J22*Lupa_PT+Periods!K22*Lupa_OT+Periods!L22*Lupa_ST+Periods!M22*Lupa_HHA+Periods!N22*Lupa_MSW</f>
        <v/>
      </c>
      <c r="K22" s="26">
        <f>IF(Periods!E22="Y",MAX(0,Periods!F22-D22-NOA_Days),0)</f>
        <v/>
      </c>
      <c r="L22" s="27">
        <f>IF(H22="LUPA",0,MIN(I22,I22*NOA_Penalty*K22))</f>
        <v/>
      </c>
      <c r="M22" s="28">
        <f>IF(H22="LUPA",J22,I22-L22)</f>
        <v/>
      </c>
      <c r="N22" s="25">
        <f>E22+Bill_Lag</f>
        <v/>
      </c>
      <c r="O22" s="29">
        <f>IFERROR(INDEX(Payer_Lag,MATCH(C22,Payer_Names,0)),0)</f>
        <v/>
      </c>
      <c r="P22" s="25">
        <f>N22+O22</f>
        <v/>
      </c>
      <c r="Q22" s="30">
        <f>YEAR(P22)*12+MONTH(P22)</f>
        <v/>
      </c>
      <c r="R22" s="27">
        <f>Periods!I22*Cost_SN+Periods!J22*Cost_PT+Periods!K22*Cost_OT+Periods!L22*Cost_ST+Periods!M22*Cost_HHA+Periods!N22*Cost_MSW</f>
        <v/>
      </c>
      <c r="S22" s="27">
        <f>M22-R22</f>
        <v/>
      </c>
      <c r="T22" s="30">
        <f>YEAR(D22)*12+MONTH(D22)</f>
        <v/>
      </c>
      <c r="U22" s="26">
        <f>MAX(0,G22-F22)</f>
        <v/>
      </c>
      <c r="V22" s="27">
        <f>F22*Old_Per_Visit</f>
        <v/>
      </c>
      <c r="W22" s="30">
        <f>YEAR(D22+Old_Lag)*12+MONTH(D22+Old_Lag)</f>
        <v/>
      </c>
    </row>
    <row r="23">
      <c r="A23" s="23">
        <f>Periods!A23</f>
        <v/>
      </c>
      <c r="B23" s="23">
        <f>Periods!B23</f>
        <v/>
      </c>
      <c r="C23" s="24">
        <f>Periods!C23</f>
        <v/>
      </c>
      <c r="D23" s="25">
        <f>Periods!D23</f>
        <v/>
      </c>
      <c r="E23" s="25">
        <f>D23+29</f>
        <v/>
      </c>
      <c r="F23" s="26">
        <f>SUM(Periods!I23:N23)</f>
        <v/>
      </c>
      <c r="G23" s="26">
        <f>Periods!H23</f>
        <v/>
      </c>
      <c r="H23" s="23">
        <f>IF(F23&lt;G23,"LUPA","Period")</f>
        <v/>
      </c>
      <c r="I23" s="27">
        <f>Periods!G23</f>
        <v/>
      </c>
      <c r="J23" s="27">
        <f>Periods!I23*Lupa_SN+Periods!J23*Lupa_PT+Periods!K23*Lupa_OT+Periods!L23*Lupa_ST+Periods!M23*Lupa_HHA+Periods!N23*Lupa_MSW</f>
        <v/>
      </c>
      <c r="K23" s="26">
        <f>IF(Periods!E23="Y",MAX(0,Periods!F23-D23-NOA_Days),0)</f>
        <v/>
      </c>
      <c r="L23" s="27">
        <f>IF(H23="LUPA",0,MIN(I23,I23*NOA_Penalty*K23))</f>
        <v/>
      </c>
      <c r="M23" s="28">
        <f>IF(H23="LUPA",J23,I23-L23)</f>
        <v/>
      </c>
      <c r="N23" s="25">
        <f>E23+Bill_Lag</f>
        <v/>
      </c>
      <c r="O23" s="29">
        <f>IFERROR(INDEX(Payer_Lag,MATCH(C23,Payer_Names,0)),0)</f>
        <v/>
      </c>
      <c r="P23" s="25">
        <f>N23+O23</f>
        <v/>
      </c>
      <c r="Q23" s="30">
        <f>YEAR(P23)*12+MONTH(P23)</f>
        <v/>
      </c>
      <c r="R23" s="27">
        <f>Periods!I23*Cost_SN+Periods!J23*Cost_PT+Periods!K23*Cost_OT+Periods!L23*Cost_ST+Periods!M23*Cost_HHA+Periods!N23*Cost_MSW</f>
        <v/>
      </c>
      <c r="S23" s="27">
        <f>M23-R23</f>
        <v/>
      </c>
      <c r="T23" s="30">
        <f>YEAR(D23)*12+MONTH(D23)</f>
        <v/>
      </c>
      <c r="U23" s="26">
        <f>MAX(0,G23-F23)</f>
        <v/>
      </c>
      <c r="V23" s="27">
        <f>F23*Old_Per_Visit</f>
        <v/>
      </c>
      <c r="W23" s="30">
        <f>YEAR(D23+Old_Lag)*12+MONTH(D23+Old_Lag)</f>
        <v/>
      </c>
    </row>
    <row r="24">
      <c r="A24" s="23">
        <f>Periods!A24</f>
        <v/>
      </c>
      <c r="B24" s="23">
        <f>Periods!B24</f>
        <v/>
      </c>
      <c r="C24" s="24">
        <f>Periods!C24</f>
        <v/>
      </c>
      <c r="D24" s="25">
        <f>Periods!D24</f>
        <v/>
      </c>
      <c r="E24" s="25">
        <f>D24+29</f>
        <v/>
      </c>
      <c r="F24" s="26">
        <f>SUM(Periods!I24:N24)</f>
        <v/>
      </c>
      <c r="G24" s="26">
        <f>Periods!H24</f>
        <v/>
      </c>
      <c r="H24" s="23">
        <f>IF(F24&lt;G24,"LUPA","Period")</f>
        <v/>
      </c>
      <c r="I24" s="27">
        <f>Periods!G24</f>
        <v/>
      </c>
      <c r="J24" s="27">
        <f>Periods!I24*Lupa_SN+Periods!J24*Lupa_PT+Periods!K24*Lupa_OT+Periods!L24*Lupa_ST+Periods!M24*Lupa_HHA+Periods!N24*Lupa_MSW</f>
        <v/>
      </c>
      <c r="K24" s="26">
        <f>IF(Periods!E24="Y",MAX(0,Periods!F24-D24-NOA_Days),0)</f>
        <v/>
      </c>
      <c r="L24" s="27">
        <f>IF(H24="LUPA",0,MIN(I24,I24*NOA_Penalty*K24))</f>
        <v/>
      </c>
      <c r="M24" s="28">
        <f>IF(H24="LUPA",J24,I24-L24)</f>
        <v/>
      </c>
      <c r="N24" s="25">
        <f>E24+Bill_Lag</f>
        <v/>
      </c>
      <c r="O24" s="29">
        <f>IFERROR(INDEX(Payer_Lag,MATCH(C24,Payer_Names,0)),0)</f>
        <v/>
      </c>
      <c r="P24" s="25">
        <f>N24+O24</f>
        <v/>
      </c>
      <c r="Q24" s="30">
        <f>YEAR(P24)*12+MONTH(P24)</f>
        <v/>
      </c>
      <c r="R24" s="27">
        <f>Periods!I24*Cost_SN+Periods!J24*Cost_PT+Periods!K24*Cost_OT+Periods!L24*Cost_ST+Periods!M24*Cost_HHA+Periods!N24*Cost_MSW</f>
        <v/>
      </c>
      <c r="S24" s="27">
        <f>M24-R24</f>
        <v/>
      </c>
      <c r="T24" s="30">
        <f>YEAR(D24)*12+MONTH(D24)</f>
        <v/>
      </c>
      <c r="U24" s="26">
        <f>MAX(0,G24-F24)</f>
        <v/>
      </c>
      <c r="V24" s="27">
        <f>F24*Old_Per_Visit</f>
        <v/>
      </c>
      <c r="W24" s="30">
        <f>YEAR(D24+Old_Lag)*12+MONTH(D24+Old_Lag)</f>
        <v/>
      </c>
    </row>
    <row r="25">
      <c r="A25" s="23">
        <f>Periods!A25</f>
        <v/>
      </c>
      <c r="B25" s="23">
        <f>Periods!B25</f>
        <v/>
      </c>
      <c r="C25" s="24">
        <f>Periods!C25</f>
        <v/>
      </c>
      <c r="D25" s="25">
        <f>Periods!D25</f>
        <v/>
      </c>
      <c r="E25" s="25">
        <f>D25+29</f>
        <v/>
      </c>
      <c r="F25" s="26">
        <f>SUM(Periods!I25:N25)</f>
        <v/>
      </c>
      <c r="G25" s="26">
        <f>Periods!H25</f>
        <v/>
      </c>
      <c r="H25" s="23">
        <f>IF(F25&lt;G25,"LUPA","Period")</f>
        <v/>
      </c>
      <c r="I25" s="27">
        <f>Periods!G25</f>
        <v/>
      </c>
      <c r="J25" s="27">
        <f>Periods!I25*Lupa_SN+Periods!J25*Lupa_PT+Periods!K25*Lupa_OT+Periods!L25*Lupa_ST+Periods!M25*Lupa_HHA+Periods!N25*Lupa_MSW</f>
        <v/>
      </c>
      <c r="K25" s="26">
        <f>IF(Periods!E25="Y",MAX(0,Periods!F25-D25-NOA_Days),0)</f>
        <v/>
      </c>
      <c r="L25" s="27">
        <f>IF(H25="LUPA",0,MIN(I25,I25*NOA_Penalty*K25))</f>
        <v/>
      </c>
      <c r="M25" s="28">
        <f>IF(H25="LUPA",J25,I25-L25)</f>
        <v/>
      </c>
      <c r="N25" s="25">
        <f>E25+Bill_Lag</f>
        <v/>
      </c>
      <c r="O25" s="29">
        <f>IFERROR(INDEX(Payer_Lag,MATCH(C25,Payer_Names,0)),0)</f>
        <v/>
      </c>
      <c r="P25" s="25">
        <f>N25+O25</f>
        <v/>
      </c>
      <c r="Q25" s="30">
        <f>YEAR(P25)*12+MONTH(P25)</f>
        <v/>
      </c>
      <c r="R25" s="27">
        <f>Periods!I25*Cost_SN+Periods!J25*Cost_PT+Periods!K25*Cost_OT+Periods!L25*Cost_ST+Periods!M25*Cost_HHA+Periods!N25*Cost_MSW</f>
        <v/>
      </c>
      <c r="S25" s="27">
        <f>M25-R25</f>
        <v/>
      </c>
      <c r="T25" s="30">
        <f>YEAR(D25)*12+MONTH(D25)</f>
        <v/>
      </c>
      <c r="U25" s="26">
        <f>MAX(0,G25-F25)</f>
        <v/>
      </c>
      <c r="V25" s="27">
        <f>F25*Old_Per_Visit</f>
        <v/>
      </c>
      <c r="W25" s="30">
        <f>YEAR(D25+Old_Lag)*12+MONTH(D25+Old_Lag)</f>
        <v/>
      </c>
    </row>
    <row r="26">
      <c r="A26" s="23">
        <f>Periods!A26</f>
        <v/>
      </c>
      <c r="B26" s="23">
        <f>Periods!B26</f>
        <v/>
      </c>
      <c r="C26" s="24">
        <f>Periods!C26</f>
        <v/>
      </c>
      <c r="D26" s="25">
        <f>Periods!D26</f>
        <v/>
      </c>
      <c r="E26" s="25">
        <f>D26+29</f>
        <v/>
      </c>
      <c r="F26" s="26">
        <f>SUM(Periods!I26:N26)</f>
        <v/>
      </c>
      <c r="G26" s="26">
        <f>Periods!H26</f>
        <v/>
      </c>
      <c r="H26" s="23">
        <f>IF(F26&lt;G26,"LUPA","Period")</f>
        <v/>
      </c>
      <c r="I26" s="27">
        <f>Periods!G26</f>
        <v/>
      </c>
      <c r="J26" s="27">
        <f>Periods!I26*Lupa_SN+Periods!J26*Lupa_PT+Periods!K26*Lupa_OT+Periods!L26*Lupa_ST+Periods!M26*Lupa_HHA+Periods!N26*Lupa_MSW</f>
        <v/>
      </c>
      <c r="K26" s="26">
        <f>IF(Periods!E26="Y",MAX(0,Periods!F26-D26-NOA_Days),0)</f>
        <v/>
      </c>
      <c r="L26" s="27">
        <f>IF(H26="LUPA",0,MIN(I26,I26*NOA_Penalty*K26))</f>
        <v/>
      </c>
      <c r="M26" s="28">
        <f>IF(H26="LUPA",J26,I26-L26)</f>
        <v/>
      </c>
      <c r="N26" s="25">
        <f>E26+Bill_Lag</f>
        <v/>
      </c>
      <c r="O26" s="29">
        <f>IFERROR(INDEX(Payer_Lag,MATCH(C26,Payer_Names,0)),0)</f>
        <v/>
      </c>
      <c r="P26" s="25">
        <f>N26+O26</f>
        <v/>
      </c>
      <c r="Q26" s="30">
        <f>YEAR(P26)*12+MONTH(P26)</f>
        <v/>
      </c>
      <c r="R26" s="27">
        <f>Periods!I26*Cost_SN+Periods!J26*Cost_PT+Periods!K26*Cost_OT+Periods!L26*Cost_ST+Periods!M26*Cost_HHA+Periods!N26*Cost_MSW</f>
        <v/>
      </c>
      <c r="S26" s="27">
        <f>M26-R26</f>
        <v/>
      </c>
      <c r="T26" s="30">
        <f>YEAR(D26)*12+MONTH(D26)</f>
        <v/>
      </c>
      <c r="U26" s="26">
        <f>MAX(0,G26-F26)</f>
        <v/>
      </c>
      <c r="V26" s="27">
        <f>F26*Old_Per_Visit</f>
        <v/>
      </c>
      <c r="W26" s="30">
        <f>YEAR(D26+Old_Lag)*12+MONTH(D26+Old_Lag)</f>
        <v/>
      </c>
    </row>
    <row r="27">
      <c r="A27" s="23">
        <f>Periods!A27</f>
        <v/>
      </c>
      <c r="B27" s="23">
        <f>Periods!B27</f>
        <v/>
      </c>
      <c r="C27" s="24">
        <f>Periods!C27</f>
        <v/>
      </c>
      <c r="D27" s="25">
        <f>Periods!D27</f>
        <v/>
      </c>
      <c r="E27" s="25">
        <f>D27+29</f>
        <v/>
      </c>
      <c r="F27" s="26">
        <f>SUM(Periods!I27:N27)</f>
        <v/>
      </c>
      <c r="G27" s="26">
        <f>Periods!H27</f>
        <v/>
      </c>
      <c r="H27" s="23">
        <f>IF(F27&lt;G27,"LUPA","Period")</f>
        <v/>
      </c>
      <c r="I27" s="27">
        <f>Periods!G27</f>
        <v/>
      </c>
      <c r="J27" s="27">
        <f>Periods!I27*Lupa_SN+Periods!J27*Lupa_PT+Periods!K27*Lupa_OT+Periods!L27*Lupa_ST+Periods!M27*Lupa_HHA+Periods!N27*Lupa_MSW</f>
        <v/>
      </c>
      <c r="K27" s="26">
        <f>IF(Periods!E27="Y",MAX(0,Periods!F27-D27-NOA_Days),0)</f>
        <v/>
      </c>
      <c r="L27" s="27">
        <f>IF(H27="LUPA",0,MIN(I27,I27*NOA_Penalty*K27))</f>
        <v/>
      </c>
      <c r="M27" s="28">
        <f>IF(H27="LUPA",J27,I27-L27)</f>
        <v/>
      </c>
      <c r="N27" s="25">
        <f>E27+Bill_Lag</f>
        <v/>
      </c>
      <c r="O27" s="29">
        <f>IFERROR(INDEX(Payer_Lag,MATCH(C27,Payer_Names,0)),0)</f>
        <v/>
      </c>
      <c r="P27" s="25">
        <f>N27+O27</f>
        <v/>
      </c>
      <c r="Q27" s="30">
        <f>YEAR(P27)*12+MONTH(P27)</f>
        <v/>
      </c>
      <c r="R27" s="27">
        <f>Periods!I27*Cost_SN+Periods!J27*Cost_PT+Periods!K27*Cost_OT+Periods!L27*Cost_ST+Periods!M27*Cost_HHA+Periods!N27*Cost_MSW</f>
        <v/>
      </c>
      <c r="S27" s="27">
        <f>M27-R27</f>
        <v/>
      </c>
      <c r="T27" s="30">
        <f>YEAR(D27)*12+MONTH(D27)</f>
        <v/>
      </c>
      <c r="U27" s="26">
        <f>MAX(0,G27-F27)</f>
        <v/>
      </c>
      <c r="V27" s="27">
        <f>F27*Old_Per_Visit</f>
        <v/>
      </c>
      <c r="W27" s="30">
        <f>YEAR(D27+Old_Lag)*12+MONTH(D27+Old_Lag)</f>
        <v/>
      </c>
    </row>
    <row r="28">
      <c r="A28" s="23">
        <f>Periods!A28</f>
        <v/>
      </c>
      <c r="B28" s="23">
        <f>Periods!B28</f>
        <v/>
      </c>
      <c r="C28" s="24">
        <f>Periods!C28</f>
        <v/>
      </c>
      <c r="D28" s="25">
        <f>Periods!D28</f>
        <v/>
      </c>
      <c r="E28" s="25">
        <f>D28+29</f>
        <v/>
      </c>
      <c r="F28" s="26">
        <f>SUM(Periods!I28:N28)</f>
        <v/>
      </c>
      <c r="G28" s="26">
        <f>Periods!H28</f>
        <v/>
      </c>
      <c r="H28" s="23">
        <f>IF(F28&lt;G28,"LUPA","Period")</f>
        <v/>
      </c>
      <c r="I28" s="27">
        <f>Periods!G28</f>
        <v/>
      </c>
      <c r="J28" s="27">
        <f>Periods!I28*Lupa_SN+Periods!J28*Lupa_PT+Periods!K28*Lupa_OT+Periods!L28*Lupa_ST+Periods!M28*Lupa_HHA+Periods!N28*Lupa_MSW</f>
        <v/>
      </c>
      <c r="K28" s="26">
        <f>IF(Periods!E28="Y",MAX(0,Periods!F28-D28-NOA_Days),0)</f>
        <v/>
      </c>
      <c r="L28" s="27">
        <f>IF(H28="LUPA",0,MIN(I28,I28*NOA_Penalty*K28))</f>
        <v/>
      </c>
      <c r="M28" s="28">
        <f>IF(H28="LUPA",J28,I28-L28)</f>
        <v/>
      </c>
      <c r="N28" s="25">
        <f>E28+Bill_Lag</f>
        <v/>
      </c>
      <c r="O28" s="29">
        <f>IFERROR(INDEX(Payer_Lag,MATCH(C28,Payer_Names,0)),0)</f>
        <v/>
      </c>
      <c r="P28" s="25">
        <f>N28+O28</f>
        <v/>
      </c>
      <c r="Q28" s="30">
        <f>YEAR(P28)*12+MONTH(P28)</f>
        <v/>
      </c>
      <c r="R28" s="27">
        <f>Periods!I28*Cost_SN+Periods!J28*Cost_PT+Periods!K28*Cost_OT+Periods!L28*Cost_ST+Periods!M28*Cost_HHA+Periods!N28*Cost_MSW</f>
        <v/>
      </c>
      <c r="S28" s="27">
        <f>M28-R28</f>
        <v/>
      </c>
      <c r="T28" s="30">
        <f>YEAR(D28)*12+MONTH(D28)</f>
        <v/>
      </c>
      <c r="U28" s="26">
        <f>MAX(0,G28-F28)</f>
        <v/>
      </c>
      <c r="V28" s="27">
        <f>F28*Old_Per_Visit</f>
        <v/>
      </c>
      <c r="W28" s="30">
        <f>YEAR(D28+Old_Lag)*12+MONTH(D28+Old_Lag)</f>
        <v/>
      </c>
    </row>
    <row r="29">
      <c r="A29" s="23">
        <f>Periods!A29</f>
        <v/>
      </c>
      <c r="B29" s="23">
        <f>Periods!B29</f>
        <v/>
      </c>
      <c r="C29" s="24">
        <f>Periods!C29</f>
        <v/>
      </c>
      <c r="D29" s="25">
        <f>Periods!D29</f>
        <v/>
      </c>
      <c r="E29" s="25">
        <f>D29+29</f>
        <v/>
      </c>
      <c r="F29" s="26">
        <f>SUM(Periods!I29:N29)</f>
        <v/>
      </c>
      <c r="G29" s="26">
        <f>Periods!H29</f>
        <v/>
      </c>
      <c r="H29" s="23">
        <f>IF(F29&lt;G29,"LUPA","Period")</f>
        <v/>
      </c>
      <c r="I29" s="27">
        <f>Periods!G29</f>
        <v/>
      </c>
      <c r="J29" s="27">
        <f>Periods!I29*Lupa_SN+Periods!J29*Lupa_PT+Periods!K29*Lupa_OT+Periods!L29*Lupa_ST+Periods!M29*Lupa_HHA+Periods!N29*Lupa_MSW</f>
        <v/>
      </c>
      <c r="K29" s="26">
        <f>IF(Periods!E29="Y",MAX(0,Periods!F29-D29-NOA_Days),0)</f>
        <v/>
      </c>
      <c r="L29" s="27">
        <f>IF(H29="LUPA",0,MIN(I29,I29*NOA_Penalty*K29))</f>
        <v/>
      </c>
      <c r="M29" s="28">
        <f>IF(H29="LUPA",J29,I29-L29)</f>
        <v/>
      </c>
      <c r="N29" s="25">
        <f>E29+Bill_Lag</f>
        <v/>
      </c>
      <c r="O29" s="29">
        <f>IFERROR(INDEX(Payer_Lag,MATCH(C29,Payer_Names,0)),0)</f>
        <v/>
      </c>
      <c r="P29" s="25">
        <f>N29+O29</f>
        <v/>
      </c>
      <c r="Q29" s="30">
        <f>YEAR(P29)*12+MONTH(P29)</f>
        <v/>
      </c>
      <c r="R29" s="27">
        <f>Periods!I29*Cost_SN+Periods!J29*Cost_PT+Periods!K29*Cost_OT+Periods!L29*Cost_ST+Periods!M29*Cost_HHA+Periods!N29*Cost_MSW</f>
        <v/>
      </c>
      <c r="S29" s="27">
        <f>M29-R29</f>
        <v/>
      </c>
      <c r="T29" s="30">
        <f>YEAR(D29)*12+MONTH(D29)</f>
        <v/>
      </c>
      <c r="U29" s="26">
        <f>MAX(0,G29-F29)</f>
        <v/>
      </c>
      <c r="V29" s="27">
        <f>F29*Old_Per_Visit</f>
        <v/>
      </c>
      <c r="W29" s="30">
        <f>YEAR(D29+Old_Lag)*12+MONTH(D29+Old_Lag)</f>
        <v/>
      </c>
    </row>
    <row r="30">
      <c r="A30" s="23">
        <f>Periods!A30</f>
        <v/>
      </c>
      <c r="B30" s="23">
        <f>Periods!B30</f>
        <v/>
      </c>
      <c r="C30" s="24">
        <f>Periods!C30</f>
        <v/>
      </c>
      <c r="D30" s="25">
        <f>Periods!D30</f>
        <v/>
      </c>
      <c r="E30" s="25">
        <f>D30+29</f>
        <v/>
      </c>
      <c r="F30" s="26">
        <f>SUM(Periods!I30:N30)</f>
        <v/>
      </c>
      <c r="G30" s="26">
        <f>Periods!H30</f>
        <v/>
      </c>
      <c r="H30" s="23">
        <f>IF(F30&lt;G30,"LUPA","Period")</f>
        <v/>
      </c>
      <c r="I30" s="27">
        <f>Periods!G30</f>
        <v/>
      </c>
      <c r="J30" s="27">
        <f>Periods!I30*Lupa_SN+Periods!J30*Lupa_PT+Periods!K30*Lupa_OT+Periods!L30*Lupa_ST+Periods!M30*Lupa_HHA+Periods!N30*Lupa_MSW</f>
        <v/>
      </c>
      <c r="K30" s="26">
        <f>IF(Periods!E30="Y",MAX(0,Periods!F30-D30-NOA_Days),0)</f>
        <v/>
      </c>
      <c r="L30" s="27">
        <f>IF(H30="LUPA",0,MIN(I30,I30*NOA_Penalty*K30))</f>
        <v/>
      </c>
      <c r="M30" s="28">
        <f>IF(H30="LUPA",J30,I30-L30)</f>
        <v/>
      </c>
      <c r="N30" s="25">
        <f>E30+Bill_Lag</f>
        <v/>
      </c>
      <c r="O30" s="29">
        <f>IFERROR(INDEX(Payer_Lag,MATCH(C30,Payer_Names,0)),0)</f>
        <v/>
      </c>
      <c r="P30" s="25">
        <f>N30+O30</f>
        <v/>
      </c>
      <c r="Q30" s="30">
        <f>YEAR(P30)*12+MONTH(P30)</f>
        <v/>
      </c>
      <c r="R30" s="27">
        <f>Periods!I30*Cost_SN+Periods!J30*Cost_PT+Periods!K30*Cost_OT+Periods!L30*Cost_ST+Periods!M30*Cost_HHA+Periods!N30*Cost_MSW</f>
        <v/>
      </c>
      <c r="S30" s="27">
        <f>M30-R30</f>
        <v/>
      </c>
      <c r="T30" s="30">
        <f>YEAR(D30)*12+MONTH(D30)</f>
        <v/>
      </c>
      <c r="U30" s="26">
        <f>MAX(0,G30-F30)</f>
        <v/>
      </c>
      <c r="V30" s="27">
        <f>F30*Old_Per_Visit</f>
        <v/>
      </c>
      <c r="W30" s="30">
        <f>YEAR(D30+Old_Lag)*12+MONTH(D30+Old_Lag)</f>
        <v/>
      </c>
    </row>
    <row r="31">
      <c r="A31" s="23">
        <f>Periods!A31</f>
        <v/>
      </c>
      <c r="B31" s="23">
        <f>Periods!B31</f>
        <v/>
      </c>
      <c r="C31" s="24">
        <f>Periods!C31</f>
        <v/>
      </c>
      <c r="D31" s="25">
        <f>Periods!D31</f>
        <v/>
      </c>
      <c r="E31" s="25">
        <f>D31+29</f>
        <v/>
      </c>
      <c r="F31" s="26">
        <f>SUM(Periods!I31:N31)</f>
        <v/>
      </c>
      <c r="G31" s="26">
        <f>Periods!H31</f>
        <v/>
      </c>
      <c r="H31" s="23">
        <f>IF(F31&lt;G31,"LUPA","Period")</f>
        <v/>
      </c>
      <c r="I31" s="27">
        <f>Periods!G31</f>
        <v/>
      </c>
      <c r="J31" s="27">
        <f>Periods!I31*Lupa_SN+Periods!J31*Lupa_PT+Periods!K31*Lupa_OT+Periods!L31*Lupa_ST+Periods!M31*Lupa_HHA+Periods!N31*Lupa_MSW</f>
        <v/>
      </c>
      <c r="K31" s="26">
        <f>IF(Periods!E31="Y",MAX(0,Periods!F31-D31-NOA_Days),0)</f>
        <v/>
      </c>
      <c r="L31" s="27">
        <f>IF(H31="LUPA",0,MIN(I31,I31*NOA_Penalty*K31))</f>
        <v/>
      </c>
      <c r="M31" s="28">
        <f>IF(H31="LUPA",J31,I31-L31)</f>
        <v/>
      </c>
      <c r="N31" s="25">
        <f>E31+Bill_Lag</f>
        <v/>
      </c>
      <c r="O31" s="29">
        <f>IFERROR(INDEX(Payer_Lag,MATCH(C31,Payer_Names,0)),0)</f>
        <v/>
      </c>
      <c r="P31" s="25">
        <f>N31+O31</f>
        <v/>
      </c>
      <c r="Q31" s="30">
        <f>YEAR(P31)*12+MONTH(P31)</f>
        <v/>
      </c>
      <c r="R31" s="27">
        <f>Periods!I31*Cost_SN+Periods!J31*Cost_PT+Periods!K31*Cost_OT+Periods!L31*Cost_ST+Periods!M31*Cost_HHA+Periods!N31*Cost_MSW</f>
        <v/>
      </c>
      <c r="S31" s="27">
        <f>M31-R31</f>
        <v/>
      </c>
      <c r="T31" s="30">
        <f>YEAR(D31)*12+MONTH(D31)</f>
        <v/>
      </c>
      <c r="U31" s="26">
        <f>MAX(0,G31-F31)</f>
        <v/>
      </c>
      <c r="V31" s="27">
        <f>F31*Old_Per_Visit</f>
        <v/>
      </c>
      <c r="W31" s="30">
        <f>YEAR(D31+Old_Lag)*12+MONTH(D31+Old_Lag)</f>
        <v/>
      </c>
    </row>
    <row r="32">
      <c r="A32" s="23">
        <f>Periods!A32</f>
        <v/>
      </c>
      <c r="B32" s="23">
        <f>Periods!B32</f>
        <v/>
      </c>
      <c r="C32" s="24">
        <f>Periods!C32</f>
        <v/>
      </c>
      <c r="D32" s="25">
        <f>Periods!D32</f>
        <v/>
      </c>
      <c r="E32" s="25">
        <f>D32+29</f>
        <v/>
      </c>
      <c r="F32" s="26">
        <f>SUM(Periods!I32:N32)</f>
        <v/>
      </c>
      <c r="G32" s="26">
        <f>Periods!H32</f>
        <v/>
      </c>
      <c r="H32" s="23">
        <f>IF(F32&lt;G32,"LUPA","Period")</f>
        <v/>
      </c>
      <c r="I32" s="27">
        <f>Periods!G32</f>
        <v/>
      </c>
      <c r="J32" s="27">
        <f>Periods!I32*Lupa_SN+Periods!J32*Lupa_PT+Periods!K32*Lupa_OT+Periods!L32*Lupa_ST+Periods!M32*Lupa_HHA+Periods!N32*Lupa_MSW</f>
        <v/>
      </c>
      <c r="K32" s="26">
        <f>IF(Periods!E32="Y",MAX(0,Periods!F32-D32-NOA_Days),0)</f>
        <v/>
      </c>
      <c r="L32" s="27">
        <f>IF(H32="LUPA",0,MIN(I32,I32*NOA_Penalty*K32))</f>
        <v/>
      </c>
      <c r="M32" s="28">
        <f>IF(H32="LUPA",J32,I32-L32)</f>
        <v/>
      </c>
      <c r="N32" s="25">
        <f>E32+Bill_Lag</f>
        <v/>
      </c>
      <c r="O32" s="29">
        <f>IFERROR(INDEX(Payer_Lag,MATCH(C32,Payer_Names,0)),0)</f>
        <v/>
      </c>
      <c r="P32" s="25">
        <f>N32+O32</f>
        <v/>
      </c>
      <c r="Q32" s="30">
        <f>YEAR(P32)*12+MONTH(P32)</f>
        <v/>
      </c>
      <c r="R32" s="27">
        <f>Periods!I32*Cost_SN+Periods!J32*Cost_PT+Periods!K32*Cost_OT+Periods!L32*Cost_ST+Periods!M32*Cost_HHA+Periods!N32*Cost_MSW</f>
        <v/>
      </c>
      <c r="S32" s="27">
        <f>M32-R32</f>
        <v/>
      </c>
      <c r="T32" s="30">
        <f>YEAR(D32)*12+MONTH(D32)</f>
        <v/>
      </c>
      <c r="U32" s="26">
        <f>MAX(0,G32-F32)</f>
        <v/>
      </c>
      <c r="V32" s="27">
        <f>F32*Old_Per_Visit</f>
        <v/>
      </c>
      <c r="W32" s="30">
        <f>YEAR(D32+Old_Lag)*12+MONTH(D32+Old_Lag)</f>
        <v/>
      </c>
    </row>
    <row r="33">
      <c r="A33" s="23">
        <f>Periods!A33</f>
        <v/>
      </c>
      <c r="B33" s="23">
        <f>Periods!B33</f>
        <v/>
      </c>
      <c r="C33" s="24">
        <f>Periods!C33</f>
        <v/>
      </c>
      <c r="D33" s="25">
        <f>Periods!D33</f>
        <v/>
      </c>
      <c r="E33" s="25">
        <f>D33+29</f>
        <v/>
      </c>
      <c r="F33" s="26">
        <f>SUM(Periods!I33:N33)</f>
        <v/>
      </c>
      <c r="G33" s="26">
        <f>Periods!H33</f>
        <v/>
      </c>
      <c r="H33" s="23">
        <f>IF(F33&lt;G33,"LUPA","Period")</f>
        <v/>
      </c>
      <c r="I33" s="27">
        <f>Periods!G33</f>
        <v/>
      </c>
      <c r="J33" s="27">
        <f>Periods!I33*Lupa_SN+Periods!J33*Lupa_PT+Periods!K33*Lupa_OT+Periods!L33*Lupa_ST+Periods!M33*Lupa_HHA+Periods!N33*Lupa_MSW</f>
        <v/>
      </c>
      <c r="K33" s="26">
        <f>IF(Periods!E33="Y",MAX(0,Periods!F33-D33-NOA_Days),0)</f>
        <v/>
      </c>
      <c r="L33" s="27">
        <f>IF(H33="LUPA",0,MIN(I33,I33*NOA_Penalty*K33))</f>
        <v/>
      </c>
      <c r="M33" s="28">
        <f>IF(H33="LUPA",J33,I33-L33)</f>
        <v/>
      </c>
      <c r="N33" s="25">
        <f>E33+Bill_Lag</f>
        <v/>
      </c>
      <c r="O33" s="29">
        <f>IFERROR(INDEX(Payer_Lag,MATCH(C33,Payer_Names,0)),0)</f>
        <v/>
      </c>
      <c r="P33" s="25">
        <f>N33+O33</f>
        <v/>
      </c>
      <c r="Q33" s="30">
        <f>YEAR(P33)*12+MONTH(P33)</f>
        <v/>
      </c>
      <c r="R33" s="27">
        <f>Periods!I33*Cost_SN+Periods!J33*Cost_PT+Periods!K33*Cost_OT+Periods!L33*Cost_ST+Periods!M33*Cost_HHA+Periods!N33*Cost_MSW</f>
        <v/>
      </c>
      <c r="S33" s="27">
        <f>M33-R33</f>
        <v/>
      </c>
      <c r="T33" s="30">
        <f>YEAR(D33)*12+MONTH(D33)</f>
        <v/>
      </c>
      <c r="U33" s="26">
        <f>MAX(0,G33-F33)</f>
        <v/>
      </c>
      <c r="V33" s="27">
        <f>F33*Old_Per_Visit</f>
        <v/>
      </c>
      <c r="W33" s="30">
        <f>YEAR(D33+Old_Lag)*12+MONTH(D33+Old_Lag)</f>
        <v/>
      </c>
    </row>
    <row r="34">
      <c r="A34" s="23">
        <f>Periods!A34</f>
        <v/>
      </c>
      <c r="B34" s="23">
        <f>Periods!B34</f>
        <v/>
      </c>
      <c r="C34" s="24">
        <f>Periods!C34</f>
        <v/>
      </c>
      <c r="D34" s="25">
        <f>Periods!D34</f>
        <v/>
      </c>
      <c r="E34" s="25">
        <f>D34+29</f>
        <v/>
      </c>
      <c r="F34" s="26">
        <f>SUM(Periods!I34:N34)</f>
        <v/>
      </c>
      <c r="G34" s="26">
        <f>Periods!H34</f>
        <v/>
      </c>
      <c r="H34" s="23">
        <f>IF(F34&lt;G34,"LUPA","Period")</f>
        <v/>
      </c>
      <c r="I34" s="27">
        <f>Periods!G34</f>
        <v/>
      </c>
      <c r="J34" s="27">
        <f>Periods!I34*Lupa_SN+Periods!J34*Lupa_PT+Periods!K34*Lupa_OT+Periods!L34*Lupa_ST+Periods!M34*Lupa_HHA+Periods!N34*Lupa_MSW</f>
        <v/>
      </c>
      <c r="K34" s="26">
        <f>IF(Periods!E34="Y",MAX(0,Periods!F34-D34-NOA_Days),0)</f>
        <v/>
      </c>
      <c r="L34" s="27">
        <f>IF(H34="LUPA",0,MIN(I34,I34*NOA_Penalty*K34))</f>
        <v/>
      </c>
      <c r="M34" s="28">
        <f>IF(H34="LUPA",J34,I34-L34)</f>
        <v/>
      </c>
      <c r="N34" s="25">
        <f>E34+Bill_Lag</f>
        <v/>
      </c>
      <c r="O34" s="29">
        <f>IFERROR(INDEX(Payer_Lag,MATCH(C34,Payer_Names,0)),0)</f>
        <v/>
      </c>
      <c r="P34" s="25">
        <f>N34+O34</f>
        <v/>
      </c>
      <c r="Q34" s="30">
        <f>YEAR(P34)*12+MONTH(P34)</f>
        <v/>
      </c>
      <c r="R34" s="27">
        <f>Periods!I34*Cost_SN+Periods!J34*Cost_PT+Periods!K34*Cost_OT+Periods!L34*Cost_ST+Periods!M34*Cost_HHA+Periods!N34*Cost_MSW</f>
        <v/>
      </c>
      <c r="S34" s="27">
        <f>M34-R34</f>
        <v/>
      </c>
      <c r="T34" s="30">
        <f>YEAR(D34)*12+MONTH(D34)</f>
        <v/>
      </c>
      <c r="U34" s="26">
        <f>MAX(0,G34-F34)</f>
        <v/>
      </c>
      <c r="V34" s="27">
        <f>F34*Old_Per_Visit</f>
        <v/>
      </c>
      <c r="W34" s="30">
        <f>YEAR(D34+Old_Lag)*12+MONTH(D34+Old_Lag)</f>
        <v/>
      </c>
    </row>
    <row r="35">
      <c r="A35" s="23">
        <f>Periods!A35</f>
        <v/>
      </c>
      <c r="B35" s="23">
        <f>Periods!B35</f>
        <v/>
      </c>
      <c r="C35" s="24">
        <f>Periods!C35</f>
        <v/>
      </c>
      <c r="D35" s="25">
        <f>Periods!D35</f>
        <v/>
      </c>
      <c r="E35" s="25">
        <f>D35+29</f>
        <v/>
      </c>
      <c r="F35" s="26">
        <f>SUM(Periods!I35:N35)</f>
        <v/>
      </c>
      <c r="G35" s="26">
        <f>Periods!H35</f>
        <v/>
      </c>
      <c r="H35" s="23">
        <f>IF(F35&lt;G35,"LUPA","Period")</f>
        <v/>
      </c>
      <c r="I35" s="27">
        <f>Periods!G35</f>
        <v/>
      </c>
      <c r="J35" s="27">
        <f>Periods!I35*Lupa_SN+Periods!J35*Lupa_PT+Periods!K35*Lupa_OT+Periods!L35*Lupa_ST+Periods!M35*Lupa_HHA+Periods!N35*Lupa_MSW</f>
        <v/>
      </c>
      <c r="K35" s="26">
        <f>IF(Periods!E35="Y",MAX(0,Periods!F35-D35-NOA_Days),0)</f>
        <v/>
      </c>
      <c r="L35" s="27">
        <f>IF(H35="LUPA",0,MIN(I35,I35*NOA_Penalty*K35))</f>
        <v/>
      </c>
      <c r="M35" s="28">
        <f>IF(H35="LUPA",J35,I35-L35)</f>
        <v/>
      </c>
      <c r="N35" s="25">
        <f>E35+Bill_Lag</f>
        <v/>
      </c>
      <c r="O35" s="29">
        <f>IFERROR(INDEX(Payer_Lag,MATCH(C35,Payer_Names,0)),0)</f>
        <v/>
      </c>
      <c r="P35" s="25">
        <f>N35+O35</f>
        <v/>
      </c>
      <c r="Q35" s="30">
        <f>YEAR(P35)*12+MONTH(P35)</f>
        <v/>
      </c>
      <c r="R35" s="27">
        <f>Periods!I35*Cost_SN+Periods!J35*Cost_PT+Periods!K35*Cost_OT+Periods!L35*Cost_ST+Periods!M35*Cost_HHA+Periods!N35*Cost_MSW</f>
        <v/>
      </c>
      <c r="S35" s="27">
        <f>M35-R35</f>
        <v/>
      </c>
      <c r="T35" s="30">
        <f>YEAR(D35)*12+MONTH(D35)</f>
        <v/>
      </c>
      <c r="U35" s="26">
        <f>MAX(0,G35-F35)</f>
        <v/>
      </c>
      <c r="V35" s="27">
        <f>F35*Old_Per_Visit</f>
        <v/>
      </c>
      <c r="W35" s="30">
        <f>YEAR(D35+Old_Lag)*12+MONTH(D35+Old_Lag)</f>
        <v/>
      </c>
    </row>
    <row r="36">
      <c r="A36" s="23">
        <f>Periods!A36</f>
        <v/>
      </c>
      <c r="B36" s="23">
        <f>Periods!B36</f>
        <v/>
      </c>
      <c r="C36" s="24">
        <f>Periods!C36</f>
        <v/>
      </c>
      <c r="D36" s="25">
        <f>Periods!D36</f>
        <v/>
      </c>
      <c r="E36" s="25">
        <f>D36+29</f>
        <v/>
      </c>
      <c r="F36" s="26">
        <f>SUM(Periods!I36:N36)</f>
        <v/>
      </c>
      <c r="G36" s="26">
        <f>Periods!H36</f>
        <v/>
      </c>
      <c r="H36" s="23">
        <f>IF(F36&lt;G36,"LUPA","Period")</f>
        <v/>
      </c>
      <c r="I36" s="27">
        <f>Periods!G36</f>
        <v/>
      </c>
      <c r="J36" s="27">
        <f>Periods!I36*Lupa_SN+Periods!J36*Lupa_PT+Periods!K36*Lupa_OT+Periods!L36*Lupa_ST+Periods!M36*Lupa_HHA+Periods!N36*Lupa_MSW</f>
        <v/>
      </c>
      <c r="K36" s="26">
        <f>IF(Periods!E36="Y",MAX(0,Periods!F36-D36-NOA_Days),0)</f>
        <v/>
      </c>
      <c r="L36" s="27">
        <f>IF(H36="LUPA",0,MIN(I36,I36*NOA_Penalty*K36))</f>
        <v/>
      </c>
      <c r="M36" s="28">
        <f>IF(H36="LUPA",J36,I36-L36)</f>
        <v/>
      </c>
      <c r="N36" s="25">
        <f>E36+Bill_Lag</f>
        <v/>
      </c>
      <c r="O36" s="29">
        <f>IFERROR(INDEX(Payer_Lag,MATCH(C36,Payer_Names,0)),0)</f>
        <v/>
      </c>
      <c r="P36" s="25">
        <f>N36+O36</f>
        <v/>
      </c>
      <c r="Q36" s="30">
        <f>YEAR(P36)*12+MONTH(P36)</f>
        <v/>
      </c>
      <c r="R36" s="27">
        <f>Periods!I36*Cost_SN+Periods!J36*Cost_PT+Periods!K36*Cost_OT+Periods!L36*Cost_ST+Periods!M36*Cost_HHA+Periods!N36*Cost_MSW</f>
        <v/>
      </c>
      <c r="S36" s="27">
        <f>M36-R36</f>
        <v/>
      </c>
      <c r="T36" s="30">
        <f>YEAR(D36)*12+MONTH(D36)</f>
        <v/>
      </c>
      <c r="U36" s="26">
        <f>MAX(0,G36-F36)</f>
        <v/>
      </c>
      <c r="V36" s="27">
        <f>F36*Old_Per_Visit</f>
        <v/>
      </c>
      <c r="W36" s="30">
        <f>YEAR(D36+Old_Lag)*12+MONTH(D36+Old_Lag)</f>
        <v/>
      </c>
    </row>
    <row r="37">
      <c r="A37" s="23">
        <f>Periods!A37</f>
        <v/>
      </c>
      <c r="B37" s="23">
        <f>Periods!B37</f>
        <v/>
      </c>
      <c r="C37" s="24">
        <f>Periods!C37</f>
        <v/>
      </c>
      <c r="D37" s="25">
        <f>Periods!D37</f>
        <v/>
      </c>
      <c r="E37" s="25">
        <f>D37+29</f>
        <v/>
      </c>
      <c r="F37" s="26">
        <f>SUM(Periods!I37:N37)</f>
        <v/>
      </c>
      <c r="G37" s="26">
        <f>Periods!H37</f>
        <v/>
      </c>
      <c r="H37" s="23">
        <f>IF(F37&lt;G37,"LUPA","Period")</f>
        <v/>
      </c>
      <c r="I37" s="27">
        <f>Periods!G37</f>
        <v/>
      </c>
      <c r="J37" s="27">
        <f>Periods!I37*Lupa_SN+Periods!J37*Lupa_PT+Periods!K37*Lupa_OT+Periods!L37*Lupa_ST+Periods!M37*Lupa_HHA+Periods!N37*Lupa_MSW</f>
        <v/>
      </c>
      <c r="K37" s="26">
        <f>IF(Periods!E37="Y",MAX(0,Periods!F37-D37-NOA_Days),0)</f>
        <v/>
      </c>
      <c r="L37" s="27">
        <f>IF(H37="LUPA",0,MIN(I37,I37*NOA_Penalty*K37))</f>
        <v/>
      </c>
      <c r="M37" s="28">
        <f>IF(H37="LUPA",J37,I37-L37)</f>
        <v/>
      </c>
      <c r="N37" s="25">
        <f>E37+Bill_Lag</f>
        <v/>
      </c>
      <c r="O37" s="29">
        <f>IFERROR(INDEX(Payer_Lag,MATCH(C37,Payer_Names,0)),0)</f>
        <v/>
      </c>
      <c r="P37" s="25">
        <f>N37+O37</f>
        <v/>
      </c>
      <c r="Q37" s="30">
        <f>YEAR(P37)*12+MONTH(P37)</f>
        <v/>
      </c>
      <c r="R37" s="27">
        <f>Periods!I37*Cost_SN+Periods!J37*Cost_PT+Periods!K37*Cost_OT+Periods!L37*Cost_ST+Periods!M37*Cost_HHA+Periods!N37*Cost_MSW</f>
        <v/>
      </c>
      <c r="S37" s="27">
        <f>M37-R37</f>
        <v/>
      </c>
      <c r="T37" s="30">
        <f>YEAR(D37)*12+MONTH(D37)</f>
        <v/>
      </c>
      <c r="U37" s="26">
        <f>MAX(0,G37-F37)</f>
        <v/>
      </c>
      <c r="V37" s="27">
        <f>F37*Old_Per_Visit</f>
        <v/>
      </c>
      <c r="W37" s="30">
        <f>YEAR(D37+Old_Lag)*12+MONTH(D37+Old_Lag)</f>
        <v/>
      </c>
    </row>
    <row r="38">
      <c r="A38" s="23">
        <f>Periods!A38</f>
        <v/>
      </c>
      <c r="B38" s="23">
        <f>Periods!B38</f>
        <v/>
      </c>
      <c r="C38" s="24">
        <f>Periods!C38</f>
        <v/>
      </c>
      <c r="D38" s="25">
        <f>Periods!D38</f>
        <v/>
      </c>
      <c r="E38" s="25">
        <f>D38+29</f>
        <v/>
      </c>
      <c r="F38" s="26">
        <f>SUM(Periods!I38:N38)</f>
        <v/>
      </c>
      <c r="G38" s="26">
        <f>Periods!H38</f>
        <v/>
      </c>
      <c r="H38" s="23">
        <f>IF(F38&lt;G38,"LUPA","Period")</f>
        <v/>
      </c>
      <c r="I38" s="27">
        <f>Periods!G38</f>
        <v/>
      </c>
      <c r="J38" s="27">
        <f>Periods!I38*Lupa_SN+Periods!J38*Lupa_PT+Periods!K38*Lupa_OT+Periods!L38*Lupa_ST+Periods!M38*Lupa_HHA+Periods!N38*Lupa_MSW</f>
        <v/>
      </c>
      <c r="K38" s="26">
        <f>IF(Periods!E38="Y",MAX(0,Periods!F38-D38-NOA_Days),0)</f>
        <v/>
      </c>
      <c r="L38" s="27">
        <f>IF(H38="LUPA",0,MIN(I38,I38*NOA_Penalty*K38))</f>
        <v/>
      </c>
      <c r="M38" s="28">
        <f>IF(H38="LUPA",J38,I38-L38)</f>
        <v/>
      </c>
      <c r="N38" s="25">
        <f>E38+Bill_Lag</f>
        <v/>
      </c>
      <c r="O38" s="29">
        <f>IFERROR(INDEX(Payer_Lag,MATCH(C38,Payer_Names,0)),0)</f>
        <v/>
      </c>
      <c r="P38" s="25">
        <f>N38+O38</f>
        <v/>
      </c>
      <c r="Q38" s="30">
        <f>YEAR(P38)*12+MONTH(P38)</f>
        <v/>
      </c>
      <c r="R38" s="27">
        <f>Periods!I38*Cost_SN+Periods!J38*Cost_PT+Periods!K38*Cost_OT+Periods!L38*Cost_ST+Periods!M38*Cost_HHA+Periods!N38*Cost_MSW</f>
        <v/>
      </c>
      <c r="S38" s="27">
        <f>M38-R38</f>
        <v/>
      </c>
      <c r="T38" s="30">
        <f>YEAR(D38)*12+MONTH(D38)</f>
        <v/>
      </c>
      <c r="U38" s="26">
        <f>MAX(0,G38-F38)</f>
        <v/>
      </c>
      <c r="V38" s="27">
        <f>F38*Old_Per_Visit</f>
        <v/>
      </c>
      <c r="W38" s="30">
        <f>YEAR(D38+Old_Lag)*12+MONTH(D38+Old_Lag)</f>
        <v/>
      </c>
    </row>
    <row r="39">
      <c r="A39" s="23">
        <f>Periods!A39</f>
        <v/>
      </c>
      <c r="B39" s="23">
        <f>Periods!B39</f>
        <v/>
      </c>
      <c r="C39" s="24">
        <f>Periods!C39</f>
        <v/>
      </c>
      <c r="D39" s="25">
        <f>Periods!D39</f>
        <v/>
      </c>
      <c r="E39" s="25">
        <f>D39+29</f>
        <v/>
      </c>
      <c r="F39" s="26">
        <f>SUM(Periods!I39:N39)</f>
        <v/>
      </c>
      <c r="G39" s="26">
        <f>Periods!H39</f>
        <v/>
      </c>
      <c r="H39" s="23">
        <f>IF(F39&lt;G39,"LUPA","Period")</f>
        <v/>
      </c>
      <c r="I39" s="27">
        <f>Periods!G39</f>
        <v/>
      </c>
      <c r="J39" s="27">
        <f>Periods!I39*Lupa_SN+Periods!J39*Lupa_PT+Periods!K39*Lupa_OT+Periods!L39*Lupa_ST+Periods!M39*Lupa_HHA+Periods!N39*Lupa_MSW</f>
        <v/>
      </c>
      <c r="K39" s="26">
        <f>IF(Periods!E39="Y",MAX(0,Periods!F39-D39-NOA_Days),0)</f>
        <v/>
      </c>
      <c r="L39" s="27">
        <f>IF(H39="LUPA",0,MIN(I39,I39*NOA_Penalty*K39))</f>
        <v/>
      </c>
      <c r="M39" s="28">
        <f>IF(H39="LUPA",J39,I39-L39)</f>
        <v/>
      </c>
      <c r="N39" s="25">
        <f>E39+Bill_Lag</f>
        <v/>
      </c>
      <c r="O39" s="29">
        <f>IFERROR(INDEX(Payer_Lag,MATCH(C39,Payer_Names,0)),0)</f>
        <v/>
      </c>
      <c r="P39" s="25">
        <f>N39+O39</f>
        <v/>
      </c>
      <c r="Q39" s="30">
        <f>YEAR(P39)*12+MONTH(P39)</f>
        <v/>
      </c>
      <c r="R39" s="27">
        <f>Periods!I39*Cost_SN+Periods!J39*Cost_PT+Periods!K39*Cost_OT+Periods!L39*Cost_ST+Periods!M39*Cost_HHA+Periods!N39*Cost_MSW</f>
        <v/>
      </c>
      <c r="S39" s="27">
        <f>M39-R39</f>
        <v/>
      </c>
      <c r="T39" s="30">
        <f>YEAR(D39)*12+MONTH(D39)</f>
        <v/>
      </c>
      <c r="U39" s="26">
        <f>MAX(0,G39-F39)</f>
        <v/>
      </c>
      <c r="V39" s="27">
        <f>F39*Old_Per_Visit</f>
        <v/>
      </c>
      <c r="W39" s="30">
        <f>YEAR(D39+Old_Lag)*12+MONTH(D39+Old_Lag)</f>
        <v/>
      </c>
    </row>
    <row r="40">
      <c r="A40" s="23">
        <f>Periods!A40</f>
        <v/>
      </c>
      <c r="B40" s="23">
        <f>Periods!B40</f>
        <v/>
      </c>
      <c r="C40" s="24">
        <f>Periods!C40</f>
        <v/>
      </c>
      <c r="D40" s="25">
        <f>Periods!D40</f>
        <v/>
      </c>
      <c r="E40" s="25">
        <f>D40+29</f>
        <v/>
      </c>
      <c r="F40" s="26">
        <f>SUM(Periods!I40:N40)</f>
        <v/>
      </c>
      <c r="G40" s="26">
        <f>Periods!H40</f>
        <v/>
      </c>
      <c r="H40" s="23">
        <f>IF(F40&lt;G40,"LUPA","Period")</f>
        <v/>
      </c>
      <c r="I40" s="27">
        <f>Periods!G40</f>
        <v/>
      </c>
      <c r="J40" s="27">
        <f>Periods!I40*Lupa_SN+Periods!J40*Lupa_PT+Periods!K40*Lupa_OT+Periods!L40*Lupa_ST+Periods!M40*Lupa_HHA+Periods!N40*Lupa_MSW</f>
        <v/>
      </c>
      <c r="K40" s="26">
        <f>IF(Periods!E40="Y",MAX(0,Periods!F40-D40-NOA_Days),0)</f>
        <v/>
      </c>
      <c r="L40" s="27">
        <f>IF(H40="LUPA",0,MIN(I40,I40*NOA_Penalty*K40))</f>
        <v/>
      </c>
      <c r="M40" s="28">
        <f>IF(H40="LUPA",J40,I40-L40)</f>
        <v/>
      </c>
      <c r="N40" s="25">
        <f>E40+Bill_Lag</f>
        <v/>
      </c>
      <c r="O40" s="29">
        <f>IFERROR(INDEX(Payer_Lag,MATCH(C40,Payer_Names,0)),0)</f>
        <v/>
      </c>
      <c r="P40" s="25">
        <f>N40+O40</f>
        <v/>
      </c>
      <c r="Q40" s="30">
        <f>YEAR(P40)*12+MONTH(P40)</f>
        <v/>
      </c>
      <c r="R40" s="27">
        <f>Periods!I40*Cost_SN+Periods!J40*Cost_PT+Periods!K40*Cost_OT+Periods!L40*Cost_ST+Periods!M40*Cost_HHA+Periods!N40*Cost_MSW</f>
        <v/>
      </c>
      <c r="S40" s="27">
        <f>M40-R40</f>
        <v/>
      </c>
      <c r="T40" s="30">
        <f>YEAR(D40)*12+MONTH(D40)</f>
        <v/>
      </c>
      <c r="U40" s="26">
        <f>MAX(0,G40-F40)</f>
        <v/>
      </c>
      <c r="V40" s="27">
        <f>F40*Old_Per_Visit</f>
        <v/>
      </c>
      <c r="W40" s="30">
        <f>YEAR(D40+Old_Lag)*12+MONTH(D40+Old_Lag)</f>
        <v/>
      </c>
    </row>
    <row r="41">
      <c r="A41" s="23">
        <f>Periods!A41</f>
        <v/>
      </c>
      <c r="B41" s="23">
        <f>Periods!B41</f>
        <v/>
      </c>
      <c r="C41" s="24">
        <f>Periods!C41</f>
        <v/>
      </c>
      <c r="D41" s="25">
        <f>Periods!D41</f>
        <v/>
      </c>
      <c r="E41" s="25">
        <f>D41+29</f>
        <v/>
      </c>
      <c r="F41" s="26">
        <f>SUM(Periods!I41:N41)</f>
        <v/>
      </c>
      <c r="G41" s="26">
        <f>Periods!H41</f>
        <v/>
      </c>
      <c r="H41" s="23">
        <f>IF(F41&lt;G41,"LUPA","Period")</f>
        <v/>
      </c>
      <c r="I41" s="27">
        <f>Periods!G41</f>
        <v/>
      </c>
      <c r="J41" s="27">
        <f>Periods!I41*Lupa_SN+Periods!J41*Lupa_PT+Periods!K41*Lupa_OT+Periods!L41*Lupa_ST+Periods!M41*Lupa_HHA+Periods!N41*Lupa_MSW</f>
        <v/>
      </c>
      <c r="K41" s="26">
        <f>IF(Periods!E41="Y",MAX(0,Periods!F41-D41-NOA_Days),0)</f>
        <v/>
      </c>
      <c r="L41" s="27">
        <f>IF(H41="LUPA",0,MIN(I41,I41*NOA_Penalty*K41))</f>
        <v/>
      </c>
      <c r="M41" s="28">
        <f>IF(H41="LUPA",J41,I41-L41)</f>
        <v/>
      </c>
      <c r="N41" s="25">
        <f>E41+Bill_Lag</f>
        <v/>
      </c>
      <c r="O41" s="29">
        <f>IFERROR(INDEX(Payer_Lag,MATCH(C41,Payer_Names,0)),0)</f>
        <v/>
      </c>
      <c r="P41" s="25">
        <f>N41+O41</f>
        <v/>
      </c>
      <c r="Q41" s="30">
        <f>YEAR(P41)*12+MONTH(P41)</f>
        <v/>
      </c>
      <c r="R41" s="27">
        <f>Periods!I41*Cost_SN+Periods!J41*Cost_PT+Periods!K41*Cost_OT+Periods!L41*Cost_ST+Periods!M41*Cost_HHA+Periods!N41*Cost_MSW</f>
        <v/>
      </c>
      <c r="S41" s="27">
        <f>M41-R41</f>
        <v/>
      </c>
      <c r="T41" s="30">
        <f>YEAR(D41)*12+MONTH(D41)</f>
        <v/>
      </c>
      <c r="U41" s="26">
        <f>MAX(0,G41-F41)</f>
        <v/>
      </c>
      <c r="V41" s="27">
        <f>F41*Old_Per_Visit</f>
        <v/>
      </c>
      <c r="W41" s="30">
        <f>YEAR(D41+Old_Lag)*12+MONTH(D41+Old_Lag)</f>
        <v/>
      </c>
    </row>
    <row r="43">
      <c r="A43" s="20" t="inlineStr">
        <is>
          <t>Total</t>
        </is>
      </c>
      <c r="F43" s="22">
        <f>SUM(F6:F41)</f>
        <v/>
      </c>
      <c r="H43" s="31">
        <f>COUNTIF(H6:H41,"LUPA")&amp;" LUPA"</f>
        <v/>
      </c>
      <c r="I43" s="21">
        <f>SUM(I6:I41)</f>
        <v/>
      </c>
      <c r="J43" s="21">
        <f>SUM(J6:J41)</f>
        <v/>
      </c>
      <c r="L43" s="21">
        <f>SUM(L6:L41)</f>
        <v/>
      </c>
      <c r="M43" s="21">
        <f>SUM(M6:M41)</f>
        <v/>
      </c>
      <c r="R43" s="21">
        <f>SUM(R6:R41)</f>
        <v/>
      </c>
      <c r="S43" s="21">
        <f>SUM(S6:S41)</f>
        <v/>
      </c>
      <c r="V43" s="21">
        <f>SUM(V6:V41)</f>
        <v/>
      </c>
    </row>
    <row r="45">
      <c r="A45" s="11" t="inlineStr">
        <is>
          <t>'Short by' is how many visits a period is under its threshold. A 1 is a full period payment one visit away — the most expensive visit an agency ever skips. Month keys are year x 12 + month.</t>
        </is>
      </c>
    </row>
    <row r="47">
      <c r="A47" s="5" t="n"/>
      <c r="B47" s="5" t="n"/>
      <c r="C47" s="5" t="n"/>
      <c r="D47" s="5" t="n"/>
      <c r="E47" s="5" t="n"/>
      <c r="F47" s="5" t="n"/>
      <c r="G47" s="5" t="n"/>
      <c r="H47" s="5" t="n"/>
      <c r="I47" s="5" t="n"/>
      <c r="J47" s="5" t="n"/>
      <c r="K47" s="5" t="n"/>
      <c r="L47" s="5" t="n"/>
      <c r="M47" s="5" t="n"/>
      <c r="N47" s="5" t="n"/>
      <c r="O47" s="5" t="n"/>
      <c r="P47" s="5" t="n"/>
      <c r="Q47" s="5" t="n"/>
      <c r="R47" s="5" t="n"/>
      <c r="S47" s="5" t="n"/>
      <c r="T47" s="5" t="n"/>
      <c r="U47" s="5" t="n"/>
      <c r="V47" s="5" t="n"/>
      <c r="W47" s="5" t="n"/>
    </row>
    <row r="48">
      <c r="A48" s="6" t="inlineStr">
        <is>
          <t>Spreadsheet Studio template v1.0  ·  built for this client, formulas live</t>
        </is>
      </c>
    </row>
  </sheetData>
  <conditionalFormatting sqref="H6:H41">
    <cfRule type="expression" priority="1" dxfId="0" stopIfTrue="0">
      <formula>$H6="LUPA"</formula>
    </cfRule>
  </conditionalFormatting>
  <conditionalFormatting sqref="U6:U41">
    <cfRule type="expression" priority="2" dxfId="1">
      <formula>$U6=1</formula>
    </cfRule>
  </conditionalFormatting>
  <conditionalFormatting sqref="L6:L41">
    <cfRule type="expression" priority="3" dxfId="1">
      <formula>$L6&gt;0</formula>
    </cfRule>
  </conditionalFormatting>
  <pageMargins left="0.75" right="0.75" top="1" bottom="1" header="0.5" footer="0.5"/>
  <pageSetup orientation="landscape" fitToWidth="1"/>
</worksheet>
</file>

<file path=xl/worksheets/sheet5.xml><?xml version="1.0" encoding="utf-8"?>
<worksheet xmlns="http://schemas.openxmlformats.org/spreadsheetml/2006/main">
  <sheetPr>
    <tabColor rgb="001F6F4A"/>
    <outlinePr summaryBelow="1" summaryRight="1"/>
    <pageSetUpPr fitToPage="1"/>
  </sheetPr>
  <dimension ref="A2:G40"/>
  <sheetViews>
    <sheetView showGridLines="0" zoomScale="115" workbookViewId="0">
      <pane xSplit="2" ySplit="7" topLeftCell="C8" activePane="bottomRight" state="frozen"/>
      <selection pane="topRight"/>
      <selection pane="bottomLeft"/>
      <selection pane="bottomRight" activeCell="A1" sqref="A1"/>
    </sheetView>
  </sheetViews>
  <sheetFormatPr baseColWidth="8" defaultRowHeight="15"/>
  <cols>
    <col width="50" customWidth="1" min="1" max="1"/>
    <col width="3" customWidth="1" min="2" max="2"/>
    <col width="13" customWidth="1" min="3" max="3"/>
    <col width="13" customWidth="1" min="4" max="4"/>
    <col width="13" customWidth="1" min="5" max="5"/>
    <col width="13" customWidth="1" min="6" max="6"/>
    <col width="14" customWidth="1" min="7" max="7"/>
  </cols>
  <sheetData>
    <row r="2">
      <c r="A2" s="1">
        <f>Client_Name&amp;" — cash, in the month it actually lands"</f>
        <v/>
      </c>
    </row>
    <row r="3">
      <c r="A3" s="2" t="inlineStr">
        <is>
          <t>Receipts by payer on each payer's own clock; the old per-visit forecast beside it; then the cash roll-forward.</t>
        </is>
      </c>
    </row>
    <row r="5">
      <c r="A5" s="7" t="inlineStr">
        <is>
          <t>EXPECTED RECEIPTS — ON EACH PAYER'S CLOCK</t>
        </is>
      </c>
      <c r="B5" s="8" t="n"/>
      <c r="C5" s="8" t="n"/>
      <c r="D5" s="8" t="n"/>
      <c r="E5" s="8" t="n"/>
      <c r="F5" s="8" t="n"/>
      <c r="G5" s="8" t="n"/>
    </row>
    <row r="6">
      <c r="A6" s="32" t="inlineStr">
        <is>
          <t>Payer</t>
        </is>
      </c>
      <c r="B6" s="33" t="n"/>
      <c r="C6" s="16">
        <f>TEXT(DATE(INT((C7-1)/12),MOD(C7-1,12)+1,1),"mmm-yy")</f>
        <v/>
      </c>
      <c r="D6" s="16">
        <f>TEXT(DATE(INT((D7-1)/12),MOD(D7-1,12)+1,1),"mmm-yy")</f>
        <v/>
      </c>
      <c r="E6" s="16">
        <f>TEXT(DATE(INT((E7-1)/12),MOD(E7-1,12)+1,1),"mmm-yy")</f>
        <v/>
      </c>
      <c r="F6" s="16">
        <f>TEXT(DATE(INT((F7-1)/12),MOD(F7-1,12)+1,1),"mmm-yy")</f>
        <v/>
      </c>
      <c r="G6" s="16" t="inlineStr">
        <is>
          <t>Total</t>
        </is>
      </c>
    </row>
    <row r="7">
      <c r="A7" s="11" t="inlineStr">
        <is>
          <t>Month key</t>
        </is>
      </c>
      <c r="C7" s="34">
        <f>YEAR(Period_Start)*12+MONTH(Period_Start)</f>
        <v/>
      </c>
      <c r="D7" s="34">
        <f>C7+1</f>
        <v/>
      </c>
      <c r="E7" s="34">
        <f>D7+1</f>
        <v/>
      </c>
      <c r="F7" s="34">
        <f>E7+1</f>
        <v/>
      </c>
    </row>
    <row r="8">
      <c r="A8" s="24">
        <f>Inputs!A23</f>
        <v/>
      </c>
      <c r="C8" s="27">
        <f>SUMIFS(Payment!$M$6:$M$41,Payment!$C$6:$C$41,$A8,Payment!$Q$6:$Q$41,C$7)</f>
        <v/>
      </c>
      <c r="D8" s="27">
        <f>SUMIFS(Payment!$M$6:$M$41,Payment!$C$6:$C$41,$A8,Payment!$Q$6:$Q$41,D$7)</f>
        <v/>
      </c>
      <c r="E8" s="27">
        <f>SUMIFS(Payment!$M$6:$M$41,Payment!$C$6:$C$41,$A8,Payment!$Q$6:$Q$41,E$7)</f>
        <v/>
      </c>
      <c r="F8" s="27">
        <f>SUMIFS(Payment!$M$6:$M$41,Payment!$C$6:$C$41,$A8,Payment!$Q$6:$Q$41,F$7)</f>
        <v/>
      </c>
      <c r="G8" s="27">
        <f>SUM(C8:F8)</f>
        <v/>
      </c>
    </row>
    <row r="9">
      <c r="A9" s="24">
        <f>Inputs!A24</f>
        <v/>
      </c>
      <c r="C9" s="27">
        <f>SUMIFS(Payment!$M$6:$M$41,Payment!$C$6:$C$41,$A9,Payment!$Q$6:$Q$41,C$7)</f>
        <v/>
      </c>
      <c r="D9" s="27">
        <f>SUMIFS(Payment!$M$6:$M$41,Payment!$C$6:$C$41,$A9,Payment!$Q$6:$Q$41,D$7)</f>
        <v/>
      </c>
      <c r="E9" s="27">
        <f>SUMIFS(Payment!$M$6:$M$41,Payment!$C$6:$C$41,$A9,Payment!$Q$6:$Q$41,E$7)</f>
        <v/>
      </c>
      <c r="F9" s="27">
        <f>SUMIFS(Payment!$M$6:$M$41,Payment!$C$6:$C$41,$A9,Payment!$Q$6:$Q$41,F$7)</f>
        <v/>
      </c>
      <c r="G9" s="27">
        <f>SUM(C9:F9)</f>
        <v/>
      </c>
    </row>
    <row r="10">
      <c r="A10" s="24">
        <f>Inputs!A25</f>
        <v/>
      </c>
      <c r="C10" s="27">
        <f>SUMIFS(Payment!$M$6:$M$41,Payment!$C$6:$C$41,$A10,Payment!$Q$6:$Q$41,C$7)</f>
        <v/>
      </c>
      <c r="D10" s="27">
        <f>SUMIFS(Payment!$M$6:$M$41,Payment!$C$6:$C$41,$A10,Payment!$Q$6:$Q$41,D$7)</f>
        <v/>
      </c>
      <c r="E10" s="27">
        <f>SUMIFS(Payment!$M$6:$M$41,Payment!$C$6:$C$41,$A10,Payment!$Q$6:$Q$41,E$7)</f>
        <v/>
      </c>
      <c r="F10" s="27">
        <f>SUMIFS(Payment!$M$6:$M$41,Payment!$C$6:$C$41,$A10,Payment!$Q$6:$Q$41,F$7)</f>
        <v/>
      </c>
      <c r="G10" s="27">
        <f>SUM(C10:F10)</f>
        <v/>
      </c>
    </row>
    <row r="11">
      <c r="A11" s="24">
        <f>Inputs!A26</f>
        <v/>
      </c>
      <c r="C11" s="27">
        <f>SUMIFS(Payment!$M$6:$M$41,Payment!$C$6:$C$41,$A11,Payment!$Q$6:$Q$41,C$7)</f>
        <v/>
      </c>
      <c r="D11" s="27">
        <f>SUMIFS(Payment!$M$6:$M$41,Payment!$C$6:$C$41,$A11,Payment!$Q$6:$Q$41,D$7)</f>
        <v/>
      </c>
      <c r="E11" s="27">
        <f>SUMIFS(Payment!$M$6:$M$41,Payment!$C$6:$C$41,$A11,Payment!$Q$6:$Q$41,E$7)</f>
        <v/>
      </c>
      <c r="F11" s="27">
        <f>SUMIFS(Payment!$M$6:$M$41,Payment!$C$6:$C$41,$A11,Payment!$Q$6:$Q$41,F$7)</f>
        <v/>
      </c>
      <c r="G11" s="27">
        <f>SUM(C11:F11)</f>
        <v/>
      </c>
    </row>
    <row r="12">
      <c r="A12" s="35" t="inlineStr">
        <is>
          <t>Receipts — all payers</t>
        </is>
      </c>
      <c r="B12" s="36" t="n"/>
      <c r="C12" s="21">
        <f>SUM(C8:C11)</f>
        <v/>
      </c>
      <c r="D12" s="21">
        <f>SUM(D8:D11)</f>
        <v/>
      </c>
      <c r="E12" s="21">
        <f>SUM(E8:E11)</f>
        <v/>
      </c>
      <c r="F12" s="21">
        <f>SUM(F8:F11)</f>
        <v/>
      </c>
      <c r="G12" s="21">
        <f>SUM(G8:G11)</f>
        <v/>
      </c>
    </row>
    <row r="13">
      <c r="A13" s="9" t="inlineStr">
        <is>
          <t>Still to land after the last month in view</t>
        </is>
      </c>
      <c r="G13" s="27">
        <f>SUMIFS(Payment!$M$6:$M$41,Payment!$Q$6:$Q$41,"&gt;"&amp;F7)</f>
        <v/>
      </c>
    </row>
    <row r="14">
      <c r="A14" s="9" t="inlineStr">
        <is>
          <t>Periods landing this month</t>
        </is>
      </c>
      <c r="C14" s="26">
        <f>COUNTIF(Payment!$Q$6:$Q$41,C$7)</f>
        <v/>
      </c>
      <c r="D14" s="26">
        <f>COUNTIF(Payment!$Q$6:$Q$41,D$7)</f>
        <v/>
      </c>
      <c r="E14" s="26">
        <f>COUNTIF(Payment!$Q$6:$Q$41,E$7)</f>
        <v/>
      </c>
      <c r="F14" s="26">
        <f>COUNTIF(Payment!$Q$6:$Q$41,F$7)</f>
        <v/>
      </c>
      <c r="G14" s="26">
        <f>SUM(C14:F14)+COUNTIF(Payment!$Q$6:$Q$41,"&gt;"&amp;F7)</f>
        <v/>
      </c>
    </row>
    <row r="16">
      <c r="A16" s="7" t="inlineStr">
        <is>
          <t>WHAT THE OLD PER-VISIT FORECAST EXPECTED</t>
        </is>
      </c>
      <c r="B16" s="8" t="n"/>
      <c r="C16" s="8" t="n"/>
      <c r="D16" s="8" t="n"/>
      <c r="E16" s="8" t="n"/>
      <c r="F16" s="8" t="n"/>
      <c r="G16" s="8" t="n"/>
    </row>
    <row r="17">
      <c r="A17" s="9" t="inlineStr">
        <is>
          <t>Visits delivered (by period start month)</t>
        </is>
      </c>
      <c r="C17" s="26">
        <f>SUMIFS(Payment!$F$6:$F$41,Payment!$T$6:$T$41,C$7)</f>
        <v/>
      </c>
      <c r="D17" s="26">
        <f>SUMIFS(Payment!$F$6:$F$41,Payment!$T$6:$T$41,D$7)</f>
        <v/>
      </c>
      <c r="E17" s="26">
        <f>SUMIFS(Payment!$F$6:$F$41,Payment!$T$6:$T$41,E$7)</f>
        <v/>
      </c>
      <c r="F17" s="26">
        <f>SUMIFS(Payment!$F$6:$F$41,Payment!$T$6:$T$41,F$7)</f>
        <v/>
      </c>
      <c r="G17" s="26">
        <f>SUM(C17:F17)</f>
        <v/>
      </c>
    </row>
    <row r="18">
      <c r="A18" s="9" t="inlineStr">
        <is>
          <t>Revenue the old forecast booked on those visits</t>
        </is>
      </c>
      <c r="C18" s="27">
        <f>C17*Old_Per_Visit</f>
        <v/>
      </c>
      <c r="D18" s="27">
        <f>D17*Old_Per_Visit</f>
        <v/>
      </c>
      <c r="E18" s="27">
        <f>E17*Old_Per_Visit</f>
        <v/>
      </c>
      <c r="F18" s="27">
        <f>F17*Old_Per_Visit</f>
        <v/>
      </c>
      <c r="G18" s="27">
        <f>SUM(C18:F18)</f>
        <v/>
      </c>
    </row>
    <row r="19">
      <c r="A19" s="20" t="inlineStr">
        <is>
          <t>Cash the old forecast expected (visit + Old_Lag days)</t>
        </is>
      </c>
      <c r="C19" s="28">
        <f>SUMIFS(Payment!$V$6:$V$41,Payment!$W$6:$W$41,C$7)</f>
        <v/>
      </c>
      <c r="D19" s="28">
        <f>SUMIFS(Payment!$V$6:$V$41,Payment!$W$6:$W$41,D$7)</f>
        <v/>
      </c>
      <c r="E19" s="28">
        <f>SUMIFS(Payment!$V$6:$V$41,Payment!$W$6:$W$41,E$7)</f>
        <v/>
      </c>
      <c r="F19" s="28">
        <f>SUMIFS(Payment!$V$6:$V$41,Payment!$W$6:$W$41,F$7)</f>
        <v/>
      </c>
      <c r="G19" s="28">
        <f>SUM(C19:F19)</f>
        <v/>
      </c>
    </row>
    <row r="20">
      <c r="A20" s="9" t="inlineStr">
        <is>
          <t>Old forecast — still to land after the last month in view</t>
        </is>
      </c>
      <c r="G20" s="27">
        <f>SUMIFS(Payment!$V$6:$V$41,Payment!$W$6:$W$41,"&gt;"&amp;F7)</f>
        <v/>
      </c>
    </row>
    <row r="21">
      <c r="A21" s="35" t="inlineStr">
        <is>
          <t>Old forecast less what actually lands</t>
        </is>
      </c>
      <c r="B21" s="36" t="n"/>
      <c r="C21" s="21">
        <f>C19-C12</f>
        <v/>
      </c>
      <c r="D21" s="21">
        <f>D19-D12</f>
        <v/>
      </c>
      <c r="E21" s="21">
        <f>E19-E12</f>
        <v/>
      </c>
      <c r="F21" s="21">
        <f>F19-F12</f>
        <v/>
      </c>
      <c r="G21" s="21">
        <f>SUM(C21:F21)</f>
        <v/>
      </c>
    </row>
    <row r="22">
      <c r="A22" s="9" t="inlineStr">
        <is>
          <t>Cumulative — cash the old forecast has promised that has not arrived</t>
        </is>
      </c>
      <c r="C22" s="27">
        <f>C21</f>
        <v/>
      </c>
      <c r="D22" s="27">
        <f>C22+D21</f>
        <v/>
      </c>
      <c r="E22" s="27">
        <f>D22+E21</f>
        <v/>
      </c>
      <c r="F22" s="27">
        <f>E22+F21</f>
        <v/>
      </c>
    </row>
    <row r="24">
      <c r="A24" s="7" t="inlineStr">
        <is>
          <t>CASH ROLL-FORWARD</t>
        </is>
      </c>
      <c r="B24" s="8" t="n"/>
      <c r="C24" s="8" t="n"/>
      <c r="D24" s="8" t="n"/>
      <c r="E24" s="8" t="n"/>
      <c r="F24" s="8" t="n"/>
      <c r="G24" s="8" t="n"/>
    </row>
    <row r="25">
      <c r="A25" s="9" t="inlineStr">
        <is>
          <t>Opening cash</t>
        </is>
      </c>
      <c r="C25" s="27">
        <f>Open_Cash</f>
        <v/>
      </c>
      <c r="D25" s="27">
        <f>C29</f>
        <v/>
      </c>
      <c r="E25" s="27">
        <f>D29</f>
        <v/>
      </c>
      <c r="F25" s="27">
        <f>E29</f>
        <v/>
      </c>
    </row>
    <row r="26">
      <c r="A26" s="9" t="inlineStr">
        <is>
          <t xml:space="preserve">    Add: receipts</t>
        </is>
      </c>
      <c r="C26" s="27">
        <f>C12</f>
        <v/>
      </c>
      <c r="D26" s="27">
        <f>D12</f>
        <v/>
      </c>
      <c r="E26" s="27">
        <f>E12</f>
        <v/>
      </c>
      <c r="F26" s="27">
        <f>F12</f>
        <v/>
      </c>
    </row>
    <row r="27">
      <c r="A27" s="9" t="inlineStr">
        <is>
          <t xml:space="preserve">    Less: cost of visits delivered</t>
        </is>
      </c>
      <c r="C27" s="27">
        <f>-SUMIFS(Payment!$R$6:$R$41,Payment!$T$6:$T$41,C$7)</f>
        <v/>
      </c>
      <c r="D27" s="27">
        <f>-SUMIFS(Payment!$R$6:$R$41,Payment!$T$6:$T$41,D$7)</f>
        <v/>
      </c>
      <c r="E27" s="27">
        <f>-SUMIFS(Payment!$R$6:$R$41,Payment!$T$6:$T$41,E$7)</f>
        <v/>
      </c>
      <c r="F27" s="27">
        <f>-SUMIFS(Payment!$R$6:$R$41,Payment!$T$6:$T$41,F$7)</f>
        <v/>
      </c>
    </row>
    <row r="28">
      <c r="A28" s="9" t="inlineStr">
        <is>
          <t xml:space="preserve">    Less: fixed overhead</t>
        </is>
      </c>
      <c r="C28" s="27">
        <f>-Overhead</f>
        <v/>
      </c>
      <c r="D28" s="27">
        <f>-Overhead</f>
        <v/>
      </c>
      <c r="E28" s="27">
        <f>-Overhead</f>
        <v/>
      </c>
      <c r="F28" s="27">
        <f>-Overhead</f>
        <v/>
      </c>
    </row>
    <row r="29">
      <c r="A29" s="35" t="inlineStr">
        <is>
          <t>Closing cash</t>
        </is>
      </c>
      <c r="B29" s="36" t="n"/>
      <c r="C29" s="21">
        <f>SUM(C25:C28)</f>
        <v/>
      </c>
      <c r="D29" s="21">
        <f>SUM(D25:D28)</f>
        <v/>
      </c>
      <c r="E29" s="21">
        <f>SUM(E25:E28)</f>
        <v/>
      </c>
      <c r="F29" s="21">
        <f>SUM(F25:F28)</f>
        <v/>
      </c>
    </row>
    <row r="30">
      <c r="A30" s="9" t="inlineStr">
        <is>
          <t>Below the minimum?</t>
        </is>
      </c>
      <c r="C30" s="23">
        <f>IF(C29&lt;Min_Cash,"SHORT","ok")</f>
        <v/>
      </c>
      <c r="D30" s="23">
        <f>IF(D29&lt;Min_Cash,"SHORT","ok")</f>
        <v/>
      </c>
      <c r="E30" s="23">
        <f>IF(E29&lt;Min_Cash,"SHORT","ok")</f>
        <v/>
      </c>
      <c r="F30" s="23">
        <f>IF(F29&lt;Min_Cash,"SHORT","ok")</f>
        <v/>
      </c>
    </row>
    <row r="31">
      <c r="A31" s="9" t="inlineStr">
        <is>
          <t>Closing cash at the last month in view — recomputed straight from the periods</t>
        </is>
      </c>
      <c r="G31" s="27">
        <f>Open_Cash+SUMIFS(Payment!$M$6:$M$41,Payment!$Q$6:$Q$41,"&gt;="&amp;C7,Payment!$Q$6:$Q$41,"&lt;="&amp;F7)-SUMIFS(Payment!$R$6:$R$41,Payment!$T$6:$T$41,"&gt;="&amp;C7,Payment!$T$6:$T$41,"&lt;="&amp;F7)-4*Overhead</f>
        <v/>
      </c>
    </row>
    <row r="33">
      <c r="A33" s="7" t="inlineStr">
        <is>
          <t>THE HEADLINES</t>
        </is>
      </c>
      <c r="B33" s="8" t="n"/>
      <c r="C33" s="8" t="n"/>
      <c r="D33" s="8" t="n"/>
      <c r="E33" s="8" t="n"/>
      <c r="F33" s="8" t="n"/>
      <c r="G33" s="8" t="n"/>
    </row>
    <row r="34">
      <c r="A34" s="37" t="inlineStr">
        <is>
          <t>LOWEST CLOSING CASH IN VIEW</t>
        </is>
      </c>
      <c r="D34" s="37" t="inlineStr">
        <is>
          <t>AND THAT MONTH IS</t>
        </is>
      </c>
      <c r="G34" s="37" t="inlineStr">
        <is>
          <t>PROMISED BY THE OLD FORECAST BY THE END OF MONTH TWO, NOT YET ARRIVED</t>
        </is>
      </c>
    </row>
    <row r="35">
      <c r="A35" s="38">
        <f>MIN(C29:F29)</f>
        <v/>
      </c>
      <c r="D35" s="39">
        <f>INDEX(C$6:F$6,MATCH(MIN(C29:F29),C29:F29,0))</f>
        <v/>
      </c>
      <c r="G35" s="38">
        <f>D22</f>
        <v/>
      </c>
    </row>
    <row r="37">
      <c r="A37" s="11" t="inlineStr">
        <is>
          <t>The old forecast is not wrong about the year. It is wrong about the months — and payroll is monthly.</t>
        </is>
      </c>
    </row>
    <row r="39">
      <c r="A39" s="5" t="n"/>
      <c r="B39" s="5" t="n"/>
      <c r="C39" s="5" t="n"/>
      <c r="D39" s="5" t="n"/>
      <c r="E39" s="5" t="n"/>
      <c r="F39" s="5" t="n"/>
      <c r="G39" s="5" t="n"/>
    </row>
    <row r="40">
      <c r="A40" s="6" t="inlineStr">
        <is>
          <t>Spreadsheet Studio template v1.0  ·  built for this client, formulas live</t>
        </is>
      </c>
    </row>
  </sheetData>
  <conditionalFormatting sqref="C30:F30">
    <cfRule type="expression" priority="1" dxfId="0" stopIfTrue="0">
      <formula>$C30="SHORT"</formula>
    </cfRule>
  </conditionalFormatting>
  <pageMargins left="0.75" right="0.75" top="1" bottom="1" header="0.5" footer="0.5"/>
  <pageSetup orientation="landscape" fitToWidth="1"/>
</worksheet>
</file>

<file path=xl/worksheets/sheet6.xml><?xml version="1.0" encoding="utf-8"?>
<worksheet xmlns="http://schemas.openxmlformats.org/spreadsheetml/2006/main">
  <sheetPr>
    <tabColor rgb="001F6F4A"/>
    <outlinePr summaryBelow="1" summaryRight="1"/>
    <pageSetUpPr fitToPage="1"/>
  </sheetPr>
  <dimension ref="A2:E26"/>
  <sheetViews>
    <sheetView showGridLines="0" zoomScale="115" workbookViewId="0">
      <selection activeCell="A1" sqref="A1"/>
    </sheetView>
  </sheetViews>
  <sheetFormatPr baseColWidth="8" defaultRowHeight="15"/>
  <cols>
    <col width="58" customWidth="1" min="1" max="1"/>
    <col width="3" customWidth="1" min="2" max="2"/>
    <col width="16" customWidth="1" min="3" max="3"/>
    <col width="3" customWidth="1" min="4" max="4"/>
    <col width="60" customWidth="1" min="5" max="5"/>
  </cols>
  <sheetData>
    <row r="2">
      <c r="A2" s="1">
        <f>Client_Name&amp;" — what is at stake in the periods on the book"</f>
        <v/>
      </c>
    </row>
    <row r="3">
      <c r="A3" s="2" t="inlineStr">
        <is>
          <t>Three things a per-visit book never shows. Each is a count and a dollar figure, read straight off the Payment sheet.</t>
        </is>
      </c>
    </row>
    <row r="5">
      <c r="A5" s="7" t="inlineStr">
        <is>
          <t>LUPA — PERIODS PAID PER VISIT INSTEAD OF AS A PERIOD</t>
        </is>
      </c>
      <c r="B5" s="8" t="n"/>
      <c r="C5" s="8" t="n"/>
      <c r="D5" s="8" t="n"/>
      <c r="E5" s="8" t="n"/>
    </row>
    <row r="6">
      <c r="A6" s="9" t="inlineStr">
        <is>
          <t>Periods paid as a LUPA</t>
        </is>
      </c>
      <c r="C6" s="40">
        <f>COUNTIF(Payment!$H$6:$H$41,"LUPA")</f>
        <v/>
      </c>
    </row>
    <row r="7">
      <c r="A7" s="9" t="inlineStr">
        <is>
          <t>What those periods would have paid at the period rate</t>
        </is>
      </c>
      <c r="C7" s="27">
        <f>SUMIF(Payment!$H$6:$H$41,"LUPA",Payment!$I$6:$I$41)</f>
        <v/>
      </c>
    </row>
    <row r="8">
      <c r="A8" s="9" t="inlineStr">
        <is>
          <t>What they pay per visit</t>
        </is>
      </c>
      <c r="C8" s="27">
        <f>SUMIF(Payment!$H$6:$H$41,"LUPA",Payment!$M$6:$M$41)</f>
        <v/>
      </c>
    </row>
    <row r="9">
      <c r="A9" s="20" t="inlineStr">
        <is>
          <t>Left on the table</t>
        </is>
      </c>
      <c r="C9" s="21">
        <f>C7-C8</f>
        <v/>
      </c>
      <c r="E9" s="11" t="inlineStr">
        <is>
          <t>The per-visit book recognised these at the full per-visit rate. The remittance will not.</t>
        </is>
      </c>
    </row>
    <row r="11">
      <c r="A11" s="7" t="inlineStr">
        <is>
          <t>ONE VISIT SHORT</t>
        </is>
      </c>
      <c r="B11" s="8" t="n"/>
      <c r="C11" s="8" t="n"/>
      <c r="D11" s="8" t="n"/>
      <c r="E11" s="8" t="n"/>
    </row>
    <row r="12">
      <c r="A12" s="9" t="inlineStr">
        <is>
          <t>Periods exactly one visit under their threshold</t>
        </is>
      </c>
      <c r="C12" s="40">
        <f>COUNTIF(Payment!$U$6:$U$41,1)</f>
        <v/>
      </c>
    </row>
    <row r="13">
      <c r="A13" s="20" t="inlineStr">
        <is>
          <t>Period payment recovered if that one visit is made</t>
        </is>
      </c>
      <c r="C13" s="28">
        <f>SUMIFS(Payment!$I$6:$I$41,Payment!$U$6:$U$41,1)-SUMIFS(Payment!$M$6:$M$41,Payment!$U$6:$U$41,1)</f>
        <v/>
      </c>
      <c r="E13" s="11" t="inlineStr">
        <is>
          <t>Net of the LUPA payment already expected. The cheapest revenue an agency will ever earn.</t>
        </is>
      </c>
    </row>
    <row r="15">
      <c r="A15" s="7" t="inlineStr">
        <is>
          <t>NOTICE OF ADMISSION FILED LATE</t>
        </is>
      </c>
      <c r="B15" s="8" t="n"/>
      <c r="C15" s="8" t="n"/>
      <c r="D15" s="8" t="n"/>
      <c r="E15" s="8" t="n"/>
    </row>
    <row r="16">
      <c r="A16" s="9" t="inlineStr">
        <is>
          <t>First periods with a late NOA</t>
        </is>
      </c>
      <c r="C16" s="40">
        <f>COUNTIF(Payment!$K$6:$K$41,"&gt;0")</f>
        <v/>
      </c>
    </row>
    <row r="17">
      <c r="A17" s="9" t="inlineStr">
        <is>
          <t>Days late, in total</t>
        </is>
      </c>
      <c r="C17" s="26">
        <f>SUM(Payment!$K$6:$K$41)</f>
        <v/>
      </c>
    </row>
    <row r="18">
      <c r="A18" s="20" t="inlineStr">
        <is>
          <t>Payment forfeited</t>
        </is>
      </c>
      <c r="C18" s="21">
        <f>SUM(Payment!$L$6:$L$41)</f>
        <v/>
      </c>
      <c r="E18" s="11" t="inlineStr">
        <is>
          <t>One thirtieth of the period payment per day, on Inputs. Priced here, not discovered on the remittance.</t>
        </is>
      </c>
    </row>
    <row r="20">
      <c r="A20" s="7" t="inlineStr">
        <is>
          <t>THE HEADLINES</t>
        </is>
      </c>
      <c r="B20" s="8" t="n"/>
      <c r="C20" s="8" t="n"/>
      <c r="D20" s="8" t="n"/>
      <c r="E20" s="8" t="n"/>
    </row>
    <row r="21">
      <c r="A21" s="37" t="inlineStr">
        <is>
          <t>REVENUE THE PER-VISIT BOOK COUNTED THAT WILL NOT BE PAID</t>
        </is>
      </c>
      <c r="C21" s="37" t="inlineStr">
        <is>
          <t>RECOVERABLE WITH ONE MORE VISIT ON EACH SHORT PERIOD</t>
        </is>
      </c>
    </row>
    <row r="22">
      <c r="A22" s="38">
        <f>C9+C18</f>
        <v/>
      </c>
      <c r="C22" s="41">
        <f>C13</f>
        <v/>
      </c>
    </row>
    <row r="25">
      <c r="A25" s="5" t="n"/>
      <c r="B25" s="5" t="n"/>
      <c r="C25" s="5" t="n"/>
      <c r="D25" s="5" t="n"/>
      <c r="E25" s="5" t="n"/>
    </row>
    <row r="26">
      <c r="A26" s="6" t="inlineStr">
        <is>
          <t>Spreadsheet Studio template v1.0  ·  built for this client, formulas live</t>
        </is>
      </c>
    </row>
  </sheetData>
  <pageMargins left="0.75" right="0.75" top="1" bottom="1" header="0.5" footer="0.5"/>
  <pageSetup orientation="landscape" fitToWidth="1"/>
</worksheet>
</file>

<file path=xl/worksheets/sheet7.xml><?xml version="1.0" encoding="utf-8"?>
<worksheet xmlns="http://schemas.openxmlformats.org/spreadsheetml/2006/main">
  <sheetPr>
    <tabColor rgb="00134A31"/>
    <outlinePr summaryBelow="1" summaryRight="1"/>
    <pageSetUpPr fitToPage="1"/>
  </sheetPr>
  <dimension ref="A2:E25"/>
  <sheetViews>
    <sheetView showGridLines="0" zoomScale="115" workbookViewId="0">
      <selection activeCell="A1" sqref="A1"/>
    </sheetView>
  </sheetViews>
  <sheetFormatPr baseColWidth="8" defaultRowHeight="15"/>
  <cols>
    <col width="60" customWidth="1" min="1" max="1"/>
    <col width="2" customWidth="1" min="2" max="2"/>
    <col width="15" customWidth="1" min="3" max="3"/>
    <col width="2" customWidth="1" min="4" max="4"/>
    <col width="86" customWidth="1" min="5" max="5"/>
  </cols>
  <sheetData>
    <row r="2">
      <c r="A2" s="1" t="inlineStr">
        <is>
          <t>Checks</t>
        </is>
      </c>
    </row>
    <row r="3">
      <c r="A3" s="2" t="inlineStr">
        <is>
          <t>13 tie-outs on this model. Break one on purpose before you trust the other 12.</t>
        </is>
      </c>
    </row>
    <row r="5">
      <c r="A5" s="16" t="inlineStr">
        <is>
          <t>Tie-out</t>
        </is>
      </c>
      <c r="B5" s="16" t="inlineStr"/>
      <c r="C5" s="16" t="inlineStr">
        <is>
          <t>Result</t>
        </is>
      </c>
      <c r="D5" s="16" t="inlineStr"/>
      <c r="E5" s="16" t="inlineStr">
        <is>
          <t>What it proves</t>
        </is>
      </c>
    </row>
    <row r="6">
      <c r="A6" s="9" t="inlineStr">
        <is>
          <t>Receipts by month plus what lands later equals every expected payment</t>
        </is>
      </c>
      <c r="C6" s="42">
        <f>IF(ABS((Cash!G12+Cash!G13)-(SUM(Payment!$M$6:$M$41)))&lt;=0.01,"OK","** CHECK **")</f>
        <v/>
      </c>
      <c r="E6" s="11" t="inlineStr">
        <is>
          <t>The monthly grid did not drop, duplicate or misdate a period's cash.</t>
        </is>
      </c>
    </row>
    <row r="7">
      <c r="A7" s="9" t="inlineStr">
        <is>
          <t>Every period lands in exactly one cash month</t>
        </is>
      </c>
      <c r="C7" s="42">
        <f>IF(ABS((Cash!G14)-(COUNTA(Periods!$A$6:$A$41)))&lt;=0,"OK","** CHECK **")</f>
        <v/>
      </c>
      <c r="E7" s="11" t="inlineStr">
        <is>
          <t>A payer typed differently from the Inputs table would look up to a zero lag and land in the wrong month; a broken date would land nowhere. This counts the periods that landed.</t>
        </is>
      </c>
    </row>
    <row r="8">
      <c r="A8" s="9" t="inlineStr">
        <is>
          <t>Expected payment re-derived from basis, rates and penalties</t>
        </is>
      </c>
      <c r="C8" s="42">
        <f>IF(ABS((SUMIF(Payment!$H$6:$H$41,"LUPA",Payment!$J$6:$J$41)+SUMIF(Payment!$H$6:$H$41,"Period",Payment!$I$6:$I$41)-SUM(Payment!$L$6:$L$41))-(SUM(Payment!$M$6:$M$41)))&lt;=0.01,"OK","** CHECK **")</f>
        <v/>
      </c>
      <c r="E8" s="11" t="inlineStr">
        <is>
          <t>The expected-payment column is rebuilt from its parts: LUPA periods at per-visit, the rest at the period rate less penalty. A number typed over any period's payment shows up here.</t>
        </is>
      </c>
    </row>
    <row r="9">
      <c r="A9" s="9" t="inlineStr">
        <is>
          <t>LUPA payments re-derived from the visit counts and the per-visit rates</t>
        </is>
      </c>
      <c r="C9" s="42">
        <f>IF(ABS((SUMIF(Payment!$H$6:$H$41,"LUPA",Payment!$J$6:$J$41))-(SUMIF(Payment!$H$6:$H$41,"LUPA",Periods!$I$6:$I$41)*Lupa_SN+SUMIF(Payment!$H$6:$H$41,"LUPA",Periods!$J$6:$J$41)*Lupa_PT+SUMIF(Payment!$H$6:$H$41,"LUPA",Periods!$K$6:$K$41)*Lupa_OT+SUMIF(Payment!$H$6:$H$41,"LUPA",Periods!$L$6:$L$41)*Lupa_ST+SUMIF(Payment!$H$6:$H$41,"LUPA",Periods!$M$6:$M$41)*Lupa_HHA+SUMIF(Payment!$H$6:$H$41,"LUPA",Periods!$N$6:$N$41)*Lupa_MSW))&lt;=0.01,"OK","** CHECK **")</f>
        <v/>
      </c>
      <c r="E9" s="11" t="inlineStr">
        <is>
          <t>Visits by discipline on the paste grid, times the rate on Inputs, for every LUPA period — a second route to the same dollars.</t>
        </is>
      </c>
    </row>
    <row r="10">
      <c r="A10" s="9" t="inlineStr">
        <is>
          <t>LUPA flags agree with the thresholds on every period</t>
        </is>
      </c>
      <c r="C10" s="42">
        <f>IF(ABS((COUNTIF(Payment!$H$6:$H$41,"LUPA"))-(SUMPRODUCT(1*(Payment!$F$6:$F$41&lt;Payment!$G$6:$G$41))))&lt;=0,"OK","** CHECK **")</f>
        <v/>
      </c>
      <c r="E10" s="11" t="inlineStr">
        <is>
          <t>The flag column and the visit counts cannot disagree about how many periods fall short.</t>
        </is>
      </c>
    </row>
    <row r="11">
      <c r="A11" s="9" t="inlineStr">
        <is>
          <t>A penalty never exceeds its period's payment, and never applies to a LUPA</t>
        </is>
      </c>
      <c r="C11" s="42">
        <f>IF(SUMPRODUCT(1*(Payment!$L$6:$L$41&gt;Payment!$I$6:$I$41))+SUMIFS(Payment!$L$6:$L$41,Payment!$H$6:$H$41,"LUPA")=0,"OK","** CHECK **")</f>
        <v/>
      </c>
      <c r="E11" s="11" t="inlineStr">
        <is>
          <t>The late-NOA reduction is capped at the payment and only applies to periods paid as periods.</t>
        </is>
      </c>
    </row>
    <row r="12">
      <c r="A12" s="9" t="inlineStr">
        <is>
          <t>Visit cost re-derived per discipline</t>
        </is>
      </c>
      <c r="C12" s="42">
        <f>IF(ABS((SUM(Payment!$R$6:$R$41))-(SUM(Periods!$I$6:$I$41)*Cost_SN+SUM(Periods!$J$6:$J$41)*Cost_PT+SUM(Periods!$K$6:$K$41)*Cost_OT+SUM(Periods!$L$6:$L$41)*Cost_ST+SUM(Periods!$M$6:$M$41)*Cost_HHA+SUM(Periods!$N$6:$N$41)*Cost_MSW))&lt;=0.01,"OK","** CHECK **")</f>
        <v/>
      </c>
      <c r="E12" s="11" t="inlineStr">
        <is>
          <t>Visits by discipline on the paste grid times the cost on Inputs. A cost typed into a single period is caught.</t>
        </is>
      </c>
    </row>
    <row r="13">
      <c r="A13" s="9" t="inlineStr">
        <is>
          <t>Every period matched a payer's payment lag</t>
        </is>
      </c>
      <c r="C13" s="42">
        <f>IF(COUNTIF(Payment!$O$6:$O$41,0)=0,"OK","** CHECK **")</f>
        <v/>
      </c>
      <c r="E13" s="11" t="inlineStr">
        <is>
          <t>A payer name that does not match Inputs would collect on day zero — the most optimistic error a cash forecast can make.</t>
        </is>
      </c>
    </row>
    <row r="14">
      <c r="A14" s="9" t="inlineStr">
        <is>
          <t>Closing cash roll-forward agrees with a direct recompute from the periods</t>
        </is>
      </c>
      <c r="C14" s="42">
        <f>IF(ABS((Cash!F29)-(Cash!G31))&lt;=0.01,"OK","** CHECK **")</f>
        <v/>
      </c>
      <c r="E14" s="11" t="inlineStr">
        <is>
          <t>Opening plus receipts less visits less overhead, month by month, equals the same figure rebuilt straight from the period list in one formula.</t>
        </is>
      </c>
    </row>
    <row r="15">
      <c r="A15" s="9" t="inlineStr">
        <is>
          <t>The old forecast's cash closes against its own revenue</t>
        </is>
      </c>
      <c r="C15" s="42">
        <f>IF(ABS((Cash!G19+Cash!G20)-(SUM(Payment!$V$6:$V$41)))&lt;=0.01,"OK","** CHECK **")</f>
        <v/>
      </c>
      <c r="E15" s="11" t="inlineStr">
        <is>
          <t>The comparison is honest: the old forecast is re-run in full, not caricatured. It differs from the actual only in WHEN the cash lands and in the periods it books at rates that will not be paid.</t>
        </is>
      </c>
    </row>
    <row r="16">
      <c r="A16" s="9" t="inlineStr">
        <is>
          <t>Visits per period re-added from the six discipline columns</t>
        </is>
      </c>
      <c r="C16" s="42">
        <f>IF(ABS((SUM(Payment!$F$6:$F$41))-(SUM(Periods!$I$6:$I$41)+SUM(Periods!$J$6:$J$41)+SUM(Periods!$K$6:$K$41)+SUM(Periods!$L$6:$L$41)+SUM(Periods!$M$6:$M$41)+SUM(Periods!$N$6:$N$41)))&lt;=0,"OK","** CHECK **")</f>
        <v/>
      </c>
      <c r="E16" s="11" t="inlineStr">
        <is>
          <t>The visit total on Payment is re-summed straight off the paste grid. A typed-over total — which would also flip a LUPA decision — is caught.</t>
        </is>
      </c>
    </row>
    <row r="17">
      <c r="A17" s="9" t="inlineStr">
        <is>
          <t>The exposure figures re-derived from the Payment sheet</t>
        </is>
      </c>
      <c r="C17" s="42">
        <f>IF(ABS((ABS(Exposure!C9-(SUMIF(Payment!$H$6:$H$41,"LUPA",Payment!$I$6:$I$41)-SUMIF(Payment!$H$6:$H$41,"LUPA",Payment!$M$6:$M$41)))+ABS(Exposure!C18-SUM(Payment!$L$6:$L$41))+ABS(Exposure!C13-(SUMIFS(Payment!$I$6:$I$41,Payment!$U$6:$U$41,1)-SUMIFS(Payment!$M$6:$M$41,Payment!$U$6:$U$41,1))))-(0))&lt;=0.01,"OK","** CHECK **")</f>
        <v/>
      </c>
      <c r="E17" s="11" t="inlineStr">
        <is>
          <t>The three dollar figures on Exposure are rebuilt from the period list in one formula, so a number typed over any of them is caught.</t>
        </is>
      </c>
    </row>
    <row r="18">
      <c r="A18" s="9" t="inlineStr">
        <is>
          <t>Visits in view, plus visits before and after it, equal the paste grid</t>
        </is>
      </c>
      <c r="C18" s="42">
        <f>IF(ABS((Cash!G17+SUMIFS(Payment!$F$6:$F$41,Payment!$T$6:$T$41,"&lt;"&amp;Cash!C7)+SUMIFS(Payment!$F$6:$F$41,Payment!$T$6:$T$41,"&gt;"&amp;Cash!F7))-(SUM(Payment!$F$6:$F$41)))&lt;=0,"OK","** CHECK **")</f>
        <v/>
      </c>
      <c r="E18" s="11" t="inlineStr">
        <is>
          <t>Every visit is counted exactly once: in a month in view, or before it, or after it. A typed-over cell in the monthly grid breaks the partition.</t>
        </is>
      </c>
    </row>
    <row r="20">
      <c r="A20" s="20" t="inlineStr">
        <is>
          <t>Summary</t>
        </is>
      </c>
      <c r="C20" s="43">
        <f>IF(COUNTIF(C6:C18,"OK")=13,"ALL CHECKS PASS","** SOMETHING IS OFF **")</f>
        <v/>
      </c>
    </row>
    <row r="22">
      <c r="A22" s="11" t="inlineStr">
        <is>
          <t>To see this sheet work: type a number over one of the live formula cells on any calculation sheet, then press Ctrl+Z to put it back.</t>
        </is>
      </c>
    </row>
    <row r="24">
      <c r="A24" s="5" t="n"/>
      <c r="B24" s="5" t="n"/>
      <c r="C24" s="5" t="n"/>
      <c r="D24" s="5" t="n"/>
      <c r="E24" s="5" t="n"/>
    </row>
    <row r="25">
      <c r="A25" s="6" t="inlineStr">
        <is>
          <t>Spreadsheet Studio template v1.0  ·  built for this client, formulas live</t>
        </is>
      </c>
    </row>
  </sheetData>
  <conditionalFormatting sqref="C6:C18">
    <cfRule type="expression" priority="1" dxfId="0">
      <formula>$C6="** CHECK **"</formula>
    </cfRule>
  </conditionalFormatting>
  <conditionalFormatting sqref="C20">
    <cfRule type="expression" priority="2" dxfId="2">
      <formula>$C20="** SOMETHING IS OFF **"</formula>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2026-09-03T18:04:19Z</dcterms:created>
  <dcterms:modified xmlns:dcterms="http://purl.org/dc/terms/" xmlns:xsi="http://www.w3.org/2001/XMLSchema-instance" xsi:type="dcterms:W3CDTF">2026-09-03T18:04:19Z</dcterms:modified>
</cp:coreProperties>
</file>