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ME" sheetId="1" state="visible" r:id="rId1"/>
    <sheet xmlns:r="http://schemas.openxmlformats.org/officeDocument/2006/relationships" name="Inputs" sheetId="2" state="visible" r:id="rId2"/>
    <sheet xmlns:r="http://schemas.openxmlformats.org/officeDocument/2006/relationships" name="Cases" sheetId="3" state="visible" r:id="rId3"/>
    <sheet xmlns:r="http://schemas.openxmlformats.org/officeDocument/2006/relationships" name="Costing" sheetId="4" state="visible" r:id="rId4"/>
    <sheet xmlns:r="http://schemas.openxmlformats.org/officeDocument/2006/relationships" name="By CPT and payer" sheetId="5" state="visible" r:id="rId5"/>
    <sheet xmlns:r="http://schemas.openxmlformats.org/officeDocument/2006/relationships" name="Averages" sheetId="6" state="visible" r:id="rId6"/>
    <sheet xmlns:r="http://schemas.openxmlformats.org/officeDocument/2006/relationships" name="Checks" sheetId="7" state="visible" r:id="rId7"/>
  </sheets>
  <definedNames>
    <definedName name="Client_Name">'Inputs'!$B$6</definedName>
    <definedName name="Period_Start">'Inputs'!$B$7</definedName>
    <definedName name="OR_Rate">'Inputs'!$B$8</definedName>
    <definedName name="Proc_Name">'Inputs'!$A$12:$A$17</definedName>
    <definedName name="Proc_CPT">'Inputs'!$B$12:$B$17</definedName>
    <definedName name="Proc_Supplies">'Inputs'!$C$12:$C$17</definedName>
    <definedName name="Proc_Minutes">'Inputs'!$D$12:$D$17</definedName>
    <definedName name="Proc_Implant">'Inputs'!$E$12:$E$17</definedName>
    <definedName name="Rate_Key">'Inputs'!$A$22:$A$45</definedName>
    <definedName name="Rate_Fee">'Inputs'!$D$22:$D$45</definedName>
  </definedNames>
  <calcPr calcId="124519" fullCalcOnLoad="1"/>
</workbook>
</file>

<file path=xl/styles.xml><?xml version="1.0" encoding="utf-8"?>
<styleSheet xmlns="http://schemas.openxmlformats.org/spreadsheetml/2006/main">
  <numFmts count="6">
    <numFmt numFmtId="164" formatCode="yyyy-mm-dd"/>
    <numFmt numFmtId="165" formatCode="mm/dd/yyyy"/>
    <numFmt numFmtId="166" formatCode="$#,##0.00;($#,##0.00)"/>
    <numFmt numFmtId="167" formatCode="$#,##0;($#,##0)"/>
    <numFmt numFmtId="168" formatCode="#,##0;(#,##0)"/>
    <numFmt numFmtId="169" formatCode="0.0%;(0.0%)"/>
  </numFmts>
  <fonts count="14">
    <font>
      <name val="Calibri"/>
      <family val="2"/>
      <color theme="1"/>
      <sz val="11"/>
      <scheme val="minor"/>
    </font>
    <font>
      <name val="Calibri"/>
      <b val="1"/>
      <color rgb="0016211C"/>
      <sz val="18"/>
    </font>
    <font>
      <name val="Calibri"/>
      <i val="1"/>
      <color rgb="005D6B64"/>
      <sz val="10"/>
    </font>
    <font>
      <name val="Calibri"/>
      <b val="1"/>
      <color rgb="00134A31"/>
      <sz val="11"/>
    </font>
    <font>
      <name val="Calibri"/>
      <color rgb="00000000"/>
      <sz val="10"/>
    </font>
    <font>
      <name val="Calibri"/>
      <i val="1"/>
      <color rgb="005D6B64"/>
      <sz val="9"/>
    </font>
    <font>
      <name val="Calibri"/>
      <b val="1"/>
      <color rgb="006B4E00"/>
      <sz val="10"/>
    </font>
    <font>
      <name val="Calibri"/>
      <b val="1"/>
      <color rgb="00FFFFFF"/>
      <sz val="10"/>
    </font>
    <font>
      <name val="Calibri"/>
      <b val="1"/>
      <color rgb="0016211C"/>
      <sz val="10"/>
    </font>
    <font>
      <name val="Calibri"/>
      <b val="1"/>
      <color rgb="005D6B64"/>
      <sz val="9"/>
    </font>
    <font>
      <name val="Calibri"/>
      <b val="1"/>
      <color rgb="00B91C1C"/>
      <sz val="14"/>
    </font>
    <font>
      <name val="Calibri"/>
      <b val="1"/>
      <color rgb="00134A31"/>
      <sz val="14"/>
    </font>
    <font>
      <name val="Calibri"/>
      <b val="1"/>
      <color rgb="00134A31"/>
      <sz val="10"/>
    </font>
    <font>
      <name val="Calibri"/>
      <b val="1"/>
      <color rgb="00134A31"/>
      <sz val="16"/>
    </font>
  </fonts>
  <fills count="5">
    <fill>
      <patternFill/>
    </fill>
    <fill>
      <patternFill patternType="gray125"/>
    </fill>
    <fill>
      <patternFill patternType="solid">
        <fgColor rgb="00E8F1EB"/>
      </patternFill>
    </fill>
    <fill>
      <patternFill patternType="solid">
        <fgColor rgb="00FFF3B8"/>
      </patternFill>
    </fill>
    <fill>
      <patternFill patternType="solid">
        <fgColor rgb="001F6F4A"/>
      </patternFill>
    </fill>
  </fills>
  <borders count="5">
    <border>
      <left/>
      <right/>
      <top/>
      <bottom/>
      <diagonal/>
    </border>
    <border>
      <top style="thin">
        <color rgb="00DCE0D9"/>
      </top>
    </border>
    <border>
      <bottom style="thin">
        <color rgb="001F6F4A"/>
      </bottom>
    </border>
    <border>
      <left style="thin">
        <color rgb="00DCE0D9"/>
      </left>
      <right style="thin">
        <color rgb="00DCE0D9"/>
      </right>
      <top style="thin">
        <color rgb="00DCE0D9"/>
      </top>
      <bottom style="thin">
        <color rgb="00DCE0D9"/>
      </bottom>
    </border>
    <border>
      <top style="thin">
        <color rgb="0016211C"/>
      </top>
    </border>
  </borders>
  <cellStyleXfs count="1">
    <xf numFmtId="0" fontId="0" fillId="0" borderId="0"/>
  </cellStyleXfs>
  <cellXfs count="43">
    <xf numFmtId="0" fontId="0" fillId="0" borderId="0" pivotButton="0" quotePrefix="0" xfId="0"/>
    <xf numFmtId="0" fontId="1" fillId="0" borderId="0" pivotButton="0" quotePrefix="0" xfId="0"/>
    <xf numFmtId="0" fontId="2" fillId="0" borderId="0" pivotButton="0" quotePrefix="0" xfId="0"/>
    <xf numFmtId="0" fontId="3" fillId="2" borderId="0" pivotButton="0" quotePrefix="0" xfId="0"/>
    <xf numFmtId="0" fontId="4" fillId="0" borderId="0" applyAlignment="1" pivotButton="0" quotePrefix="0" xfId="0">
      <alignment horizontal="left" vertical="top" wrapText="1"/>
    </xf>
    <xf numFmtId="0" fontId="0" fillId="0" borderId="1" pivotButton="0" quotePrefix="0" xfId="0"/>
    <xf numFmtId="0" fontId="5" fillId="0" borderId="0" pivotButton="0" quotePrefix="0" xfId="0"/>
    <xf numFmtId="0" fontId="3" fillId="2" borderId="2" applyAlignment="1" pivotButton="0" quotePrefix="0" xfId="0">
      <alignment horizontal="left" vertical="center"/>
    </xf>
    <xf numFmtId="0" fontId="0" fillId="2" borderId="2" pivotButton="0" quotePrefix="0" xfId="0"/>
    <xf numFmtId="0" fontId="4" fillId="0" borderId="0" applyAlignment="1" pivotButton="0" quotePrefix="0" xfId="0">
      <alignment horizontal="left" vertical="center"/>
    </xf>
    <xf numFmtId="49" fontId="6" fillId="3" borderId="3" applyAlignment="1" pivotButton="0" quotePrefix="0" xfId="0">
      <alignment horizontal="right" vertical="center"/>
    </xf>
    <xf numFmtId="0" fontId="5" fillId="0" borderId="0" applyAlignment="1" pivotButton="0" quotePrefix="0" xfId="0">
      <alignment horizontal="left" vertical="center"/>
    </xf>
    <xf numFmtId="165" fontId="6" fillId="3" borderId="3" applyAlignment="1" pivotButton="0" quotePrefix="0" xfId="0">
      <alignment horizontal="right" vertical="center"/>
    </xf>
    <xf numFmtId="166" fontId="6" fillId="3" borderId="3" applyAlignment="1" pivotButton="0" quotePrefix="0" xfId="0">
      <alignment horizontal="right" vertical="center"/>
    </xf>
    <xf numFmtId="0" fontId="7" fillId="4" borderId="3" applyAlignment="1" pivotButton="0" quotePrefix="0" xfId="0">
      <alignment horizontal="center" vertical="center"/>
    </xf>
    <xf numFmtId="49" fontId="6" fillId="3" borderId="3" applyAlignment="1" pivotButton="0" quotePrefix="0" xfId="0">
      <alignment horizontal="left" vertical="center"/>
    </xf>
    <xf numFmtId="49" fontId="6" fillId="3" borderId="3" applyAlignment="1" pivotButton="0" quotePrefix="0" xfId="0">
      <alignment horizontal="center" vertical="center"/>
    </xf>
    <xf numFmtId="167" fontId="6" fillId="3" borderId="3" applyAlignment="1" pivotButton="0" quotePrefix="0" xfId="0">
      <alignment horizontal="right" vertical="center"/>
    </xf>
    <xf numFmtId="168" fontId="6" fillId="3" borderId="3" applyAlignment="1" pivotButton="0" quotePrefix="0" xfId="0">
      <alignment horizontal="right" vertical="center"/>
    </xf>
    <xf numFmtId="49" fontId="5" fillId="0" borderId="0" applyAlignment="1" pivotButton="0" quotePrefix="0" xfId="0">
      <alignment horizontal="left" vertical="center"/>
    </xf>
    <xf numFmtId="0" fontId="8" fillId="0" borderId="0" applyAlignment="1" pivotButton="0" quotePrefix="0" xfId="0">
      <alignment horizontal="left" vertical="center"/>
    </xf>
    <xf numFmtId="168" fontId="8" fillId="0" borderId="4" applyAlignment="1" pivotButton="0" quotePrefix="0" xfId="0">
      <alignment horizontal="right" vertical="center"/>
    </xf>
    <xf numFmtId="167" fontId="8" fillId="0" borderId="4" applyAlignment="1" pivotButton="0" quotePrefix="0" xfId="0">
      <alignment horizontal="right" vertical="center"/>
    </xf>
    <xf numFmtId="49" fontId="4" fillId="0" borderId="0" applyAlignment="1" pivotButton="0" quotePrefix="0" xfId="0">
      <alignment horizontal="center" vertical="center"/>
    </xf>
    <xf numFmtId="165" fontId="4" fillId="0" borderId="0" applyAlignment="1" pivotButton="0" quotePrefix="0" xfId="0">
      <alignment horizontal="right" vertical="center"/>
    </xf>
    <xf numFmtId="49" fontId="4" fillId="0" borderId="0" applyAlignment="1" pivotButton="0" quotePrefix="0" xfId="0">
      <alignment horizontal="left" vertical="center"/>
    </xf>
    <xf numFmtId="167" fontId="4" fillId="0" borderId="0" applyAlignment="1" pivotButton="0" quotePrefix="0" xfId="0">
      <alignment horizontal="right" vertical="center"/>
    </xf>
    <xf numFmtId="168" fontId="4" fillId="0" borderId="0" applyAlignment="1" pivotButton="0" quotePrefix="0" xfId="0">
      <alignment horizontal="right" vertical="center"/>
    </xf>
    <xf numFmtId="167" fontId="8" fillId="0" borderId="0" applyAlignment="1" pivotButton="0" quotePrefix="0" xfId="0">
      <alignment horizontal="right" vertical="center"/>
    </xf>
    <xf numFmtId="169" fontId="4" fillId="0" borderId="0" applyAlignment="1" pivotButton="0" quotePrefix="0" xfId="0">
      <alignment horizontal="right" vertical="center"/>
    </xf>
    <xf numFmtId="3" fontId="5" fillId="0" borderId="0" applyAlignment="1" pivotButton="0" quotePrefix="0" xfId="0">
      <alignment horizontal="right" vertical="center"/>
    </xf>
    <xf numFmtId="169" fontId="8" fillId="0" borderId="4" applyAlignment="1" pivotButton="0" quotePrefix="0" xfId="0">
      <alignment horizontal="right" vertical="center"/>
    </xf>
    <xf numFmtId="0" fontId="7" fillId="4" borderId="3" applyAlignment="1" pivotButton="0" quotePrefix="0" xfId="0">
      <alignment horizontal="left" vertical="center"/>
    </xf>
    <xf numFmtId="168" fontId="8" fillId="0" borderId="0" applyAlignment="1" pivotButton="0" quotePrefix="0" xfId="0">
      <alignment horizontal="right" vertical="center"/>
    </xf>
    <xf numFmtId="0" fontId="8" fillId="0" borderId="4" applyAlignment="1" pivotButton="0" quotePrefix="0" xfId="0">
      <alignment horizontal="left" vertical="center"/>
    </xf>
    <xf numFmtId="0" fontId="0" fillId="0" borderId="4" pivotButton="0" quotePrefix="0" xfId="0"/>
    <xf numFmtId="0" fontId="9" fillId="0" borderId="0" applyAlignment="1" pivotButton="0" quotePrefix="0" xfId="0">
      <alignment horizontal="left" vertical="center"/>
    </xf>
    <xf numFmtId="49" fontId="10" fillId="0" borderId="0" applyAlignment="1" pivotButton="0" quotePrefix="0" xfId="0">
      <alignment horizontal="left" vertical="center"/>
    </xf>
    <xf numFmtId="167" fontId="10" fillId="0" borderId="0" applyAlignment="1" pivotButton="0" quotePrefix="0" xfId="0">
      <alignment horizontal="left" vertical="center"/>
    </xf>
    <xf numFmtId="168" fontId="10" fillId="0" borderId="0" applyAlignment="1" pivotButton="0" quotePrefix="0" xfId="0">
      <alignment horizontal="left" vertical="center"/>
    </xf>
    <xf numFmtId="168" fontId="11" fillId="0" borderId="0" applyAlignment="1" pivotButton="0" quotePrefix="0" xfId="0">
      <alignment horizontal="left" vertical="center"/>
    </xf>
    <xf numFmtId="0" fontId="12" fillId="0" borderId="3" applyAlignment="1" pivotButton="0" quotePrefix="0" xfId="0">
      <alignment horizontal="center" vertical="center"/>
    </xf>
    <xf numFmtId="0" fontId="13" fillId="0" borderId="0" applyAlignment="1" pivotButton="0" quotePrefix="0" xfId="0">
      <alignment horizontal="center" vertical="center"/>
    </xf>
  </cellXfs>
  <cellStyles count="1">
    <cellStyle name="Normal" xfId="0" builtinId="0" hidden="0"/>
  </cellStyles>
  <dxfs count="3">
    <dxf>
      <font>
        <name val="Calibri"/>
        <b val="1"/>
        <color rgb="00B91C1C"/>
        <sz val="10"/>
      </font>
      <fill>
        <patternFill patternType="solid">
          <fgColor rgb="00FCE4E4"/>
        </patternFill>
      </fill>
    </dxf>
    <dxf>
      <font>
        <name val="Calibri"/>
        <b val="1"/>
        <color rgb="00B91C1C"/>
        <sz val="10"/>
      </font>
    </dxf>
    <dxf>
      <font>
        <name val="Calibri"/>
        <b val="1"/>
        <color rgb="00B91C1C"/>
        <sz val="14"/>
      </font>
      <fill>
        <patternFill patternType="solid">
          <fgColor rgb="00FCE4E4"/>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6211C"/>
    <outlinePr summaryBelow="1" summaryRight="1"/>
    <pageSetUpPr fitToPage="1"/>
  </sheetPr>
  <dimension ref="A2:B34"/>
  <sheetViews>
    <sheetView showGridLines="0" zoomScale="115" workbookViewId="0">
      <selection activeCell="A1" sqref="A1"/>
    </sheetView>
  </sheetViews>
  <sheetFormatPr baseColWidth="8" defaultRowHeight="15"/>
  <cols>
    <col width="3" customWidth="1" min="1" max="1"/>
    <col width="108" customWidth="1" min="2" max="2"/>
  </cols>
  <sheetData>
    <row r="2">
      <c r="B2" s="1" t="inlineStr">
        <is>
          <t>Spreadsheet Studio  ·  Case costing by CPT and payer</t>
        </is>
      </c>
    </row>
    <row r="3">
      <c r="B3" s="2" t="inlineStr">
        <is>
          <t>Larkspur Surgery Center is an illustrative company. The data in this file is invented; the mechanics are not.</t>
        </is>
      </c>
    </row>
    <row r="5">
      <c r="B5" s="3" t="inlineStr">
        <is>
          <t>WHAT THIS IS</t>
        </is>
      </c>
    </row>
    <row r="6" ht="30" customHeight="1">
      <c r="B6" s="4" t="inlineStr">
        <is>
          <t>Every case costed on its own: the facility fee that payer actually pays for that CPT, the standard supplies, the implant that case consumed, and the OR time it took. Then the same cases the way most centers model them, so the difference is visible in dollars.</t>
        </is>
      </c>
    </row>
    <row r="8">
      <c r="B8" s="3" t="inlineStr">
        <is>
          <t>THE MISTAKE THIS MODEL EXISTS TO CATCH</t>
        </is>
      </c>
    </row>
    <row r="9" ht="30" customHeight="1">
      <c r="B9" s="4" t="inlineStr">
        <is>
          <t>Revenue modelled as cases times an average rate. The same knee replacement pays $9,150 under one contract and $21,500 under another; an average puts money on Medicare cases that Medicare does not pay. The Averages sheet totals what the average invents.</t>
        </is>
      </c>
    </row>
    <row r="10" ht="30" customHeight="1">
      <c r="B10" s="4" t="inlineStr">
        <is>
          <t>Implants averaged into supply cost. A $6,400 implant belongs to the case that used it. Spread across the service line, every case looks profitable; costed to the case, the ones that lose money have names and dates.</t>
        </is>
      </c>
    </row>
    <row r="12">
      <c r="B12" s="3" t="inlineStr">
        <is>
          <t>THE COLOUR RULE (learn this once and the whole file is readable)</t>
        </is>
      </c>
    </row>
    <row r="13" ht="15" customHeight="1">
      <c r="B13" s="4" t="inlineStr">
        <is>
          <t>YELLOW cell  =  an input. Type over it.</t>
        </is>
      </c>
    </row>
    <row r="14" ht="15" customHeight="1">
      <c r="B14" s="4" t="inlineStr">
        <is>
          <t>BLACK text   =  a live formula. Leave it alone.</t>
        </is>
      </c>
    </row>
    <row r="15" ht="15" customHeight="1">
      <c r="B15" s="4" t="inlineStr">
        <is>
          <t>GREEN band   =  a section header.</t>
        </is>
      </c>
    </row>
    <row r="16" ht="15" customHeight="1">
      <c r="B16" s="4" t="inlineStr">
        <is>
          <t>RED flag     =  the model is telling you something. Go and look at it.</t>
        </is>
      </c>
    </row>
    <row r="17" ht="15" customHeight="1">
      <c r="B17" s="4" t="inlineStr">
        <is>
          <t>CHECKS sheet =  tie-outs. Every row must read OK before anyone relies on this file.</t>
        </is>
      </c>
    </row>
    <row r="19">
      <c r="B19" s="3" t="inlineStr">
        <is>
          <t>HOW IT IS WIRED</t>
        </is>
      </c>
    </row>
    <row r="20" ht="30" customHeight="1">
      <c r="B20" s="4" t="inlineStr">
        <is>
          <t>Cases is the paste grid — one row per case, exactly as it comes out of the case log: CPT, payer, surgeon, actual OR minutes, the implant invoice.</t>
        </is>
      </c>
    </row>
    <row r="21" ht="30" customHeight="1">
      <c r="B21" s="4" t="inlineStr">
        <is>
          <t>Costing looks up the contracted fee for that CPT under that payer, the standard supplies and OR minutes for that CPT, and prices the case. Contribution is what is left; LOSS is flagged.</t>
        </is>
      </c>
    </row>
    <row r="22" ht="30" customHeight="1">
      <c r="B22" s="4" t="inlineStr">
        <is>
          <t>By CPT and payer buckets every case into a six-by-four grid three times: how many, what they contributed, and what each one contributed on average — so the losing cell is visible.</t>
        </is>
      </c>
    </row>
    <row r="23" ht="30" customHeight="1">
      <c r="B23" s="4" t="inlineStr">
        <is>
          <t>Averages runs the two shortcuts on the same data: one average fee per CPT, and implants averaged into supplies. Same money in total, and a different answer to which cases lose.</t>
        </is>
      </c>
    </row>
    <row r="25">
      <c r="B25" s="3" t="inlineStr">
        <is>
          <t>SHEETS IN THIS FILE</t>
        </is>
      </c>
    </row>
    <row r="26" ht="15" customHeight="1">
      <c r="B26" s="4" t="inlineStr">
        <is>
          <t>README · Inputs · Cases · Costing · By CPT and payer · Averages · Checks</t>
        </is>
      </c>
    </row>
    <row r="28">
      <c r="B28" s="3" t="inlineStr">
        <is>
          <t>BEFORE YOU RELY ON IT</t>
        </is>
      </c>
    </row>
    <row r="29" ht="15" customHeight="1">
      <c r="B29" s="4" t="inlineStr">
        <is>
          <t>1.  CHECKS sheet — every row reads OK and the summary says ALL CHECKS PASS.</t>
        </is>
      </c>
    </row>
    <row r="30" ht="15" customHeight="1">
      <c r="B30" s="4" t="inlineStr">
        <is>
          <t>2.  No typed number sits in a calculation cell. Every assumption is on Inputs.</t>
        </is>
      </c>
    </row>
    <row r="31" ht="15" customHeight="1">
      <c r="B31" s="4" t="inlineStr">
        <is>
          <t>3.  Break a check on purpose once. A tie-out you have never seen go red is not a tie-out.</t>
        </is>
      </c>
    </row>
    <row r="33">
      <c r="A33" s="5" t="n"/>
      <c r="B33" s="5" t="n"/>
    </row>
    <row r="34">
      <c r="A34" s="6" t="inlineStr">
        <is>
          <t>Spreadsheet Studio template v1.0  ·  built for this client, formulas live</t>
        </is>
      </c>
    </row>
  </sheetData>
  <pageMargins left="0.75" right="0.75" top="1" bottom="1" header="0.5" footer="0.5"/>
  <pageSetup orientation="landscape" fitToWidth="1"/>
</worksheet>
</file>

<file path=xl/worksheets/sheet2.xml><?xml version="1.0" encoding="utf-8"?>
<worksheet xmlns="http://schemas.openxmlformats.org/spreadsheetml/2006/main">
  <sheetPr>
    <tabColor rgb="001F6F4A"/>
    <outlinePr summaryBelow="1" summaryRight="1"/>
    <pageSetUpPr fitToPage="1"/>
  </sheetPr>
  <dimension ref="A2:F49"/>
  <sheetViews>
    <sheetView showGridLines="0" zoomScale="115" workbookViewId="0">
      <selection activeCell="A1" sqref="A1"/>
    </sheetView>
  </sheetViews>
  <sheetFormatPr baseColWidth="8" defaultRowHeight="15"/>
  <cols>
    <col width="40" customWidth="1" min="1" max="1"/>
    <col width="16" customWidth="1" min="2" max="2"/>
    <col width="16" customWidth="1" min="3" max="3"/>
    <col width="16" customWidth="1" min="4" max="4"/>
    <col width="16" customWidth="1" min="5" max="5"/>
    <col width="40" customWidth="1" min="6" max="6"/>
  </cols>
  <sheetData>
    <row r="2">
      <c r="A2" s="1" t="inlineStr">
        <is>
          <t>Inputs</t>
        </is>
      </c>
    </row>
    <row r="3">
      <c r="A3" s="2" t="inlineStr">
        <is>
          <t>Every assumption in this file lives on this sheet. Yellow means type over it.</t>
        </is>
      </c>
    </row>
    <row r="5">
      <c r="A5" s="7" t="inlineStr">
        <is>
          <t>ENGAGEMENT</t>
        </is>
      </c>
      <c r="B5" s="8" t="n"/>
      <c r="C5" s="8" t="n"/>
      <c r="D5" s="8" t="n"/>
      <c r="E5" s="8" t="n"/>
      <c r="F5" s="8" t="n"/>
    </row>
    <row r="6">
      <c r="A6" s="9" t="inlineStr">
        <is>
          <t>Center</t>
        </is>
      </c>
      <c r="B6" s="10" t="inlineStr">
        <is>
          <t>Larkspur Surgery Center</t>
        </is>
      </c>
      <c r="F6" s="11" t="inlineStr">
        <is>
          <t>Shown in every sheet heading.</t>
        </is>
      </c>
    </row>
    <row r="7">
      <c r="A7" s="9" t="inlineStr">
        <is>
          <t>First month in view</t>
        </is>
      </c>
      <c r="B7" s="12" t="n">
        <v>46113</v>
      </c>
      <c r="F7" s="11" t="inlineStr">
        <is>
          <t>Every month column in the file rolls off this one date.</t>
        </is>
      </c>
    </row>
    <row r="8">
      <c r="A8" s="9" t="inlineStr">
        <is>
          <t>OR cost per minute — staff, room and equipment, fully loaded</t>
        </is>
      </c>
      <c r="B8" s="13" t="n">
        <v>16.5</v>
      </c>
      <c r="F8" s="11" t="inlineStr">
        <is>
          <t>What a minute of a running room costs the center. Anesthesia bills separately and is excluded.</t>
        </is>
      </c>
    </row>
    <row r="10">
      <c r="A10" s="7" t="inlineStr">
        <is>
          <t>PROCEDURES</t>
        </is>
      </c>
      <c r="B10" s="8" t="n"/>
      <c r="C10" s="8" t="n"/>
      <c r="D10" s="8" t="n"/>
      <c r="E10" s="8" t="n"/>
      <c r="F10" s="8" t="n"/>
    </row>
    <row r="11">
      <c r="A11" s="14" t="inlineStr">
        <is>
          <t>Procedure</t>
        </is>
      </c>
      <c r="B11" s="14" t="inlineStr">
        <is>
          <t>CPT</t>
        </is>
      </c>
      <c r="C11" s="14" t="inlineStr">
        <is>
          <t>Std supplies</t>
        </is>
      </c>
      <c r="D11" s="14" t="inlineStr">
        <is>
          <t>Std OR min</t>
        </is>
      </c>
      <c r="E11" s="14" t="inlineStr">
        <is>
          <t>Implant?</t>
        </is>
      </c>
      <c r="F11" s="14" t="inlineStr">
        <is>
          <t>Note</t>
        </is>
      </c>
    </row>
    <row r="12">
      <c r="A12" s="15" t="inlineStr">
        <is>
          <t>Knee arthroscopy with meniscectomy</t>
        </is>
      </c>
      <c r="B12" s="16" t="inlineStr">
        <is>
          <t>29881</t>
        </is>
      </c>
      <c r="C12" s="17" t="n">
        <v>420</v>
      </c>
      <c r="D12" s="18" t="n">
        <v>55</v>
      </c>
      <c r="E12" s="16" t="inlineStr">
        <is>
          <t>N</t>
        </is>
      </c>
      <c r="F12" s="11" t="inlineStr">
        <is>
          <t>No implant on this procedure.</t>
        </is>
      </c>
    </row>
    <row r="13">
      <c r="A13" s="15" t="inlineStr">
        <is>
          <t>Arthroscopic rotator cuff repair</t>
        </is>
      </c>
      <c r="B13" s="16" t="inlineStr">
        <is>
          <t>29827</t>
        </is>
      </c>
      <c r="C13" s="17" t="n">
        <v>610</v>
      </c>
      <c r="D13" s="18" t="n">
        <v>95</v>
      </c>
      <c r="E13" s="16" t="inlineStr">
        <is>
          <t>Y</t>
        </is>
      </c>
      <c r="F13" s="11" t="inlineStr">
        <is>
          <t>Implant cost is on the case, never here.</t>
        </is>
      </c>
    </row>
    <row r="14">
      <c r="A14" s="15" t="inlineStr">
        <is>
          <t>Total knee arthroplasty</t>
        </is>
      </c>
      <c r="B14" s="16" t="inlineStr">
        <is>
          <t>27447</t>
        </is>
      </c>
      <c r="C14" s="17" t="n">
        <v>1150</v>
      </c>
      <c r="D14" s="18" t="n">
        <v>130</v>
      </c>
      <c r="E14" s="16" t="inlineStr">
        <is>
          <t>Y</t>
        </is>
      </c>
      <c r="F14" s="11" t="inlineStr">
        <is>
          <t>Implant cost is on the case, never here.</t>
        </is>
      </c>
    </row>
    <row r="15">
      <c r="A15" s="15" t="inlineStr">
        <is>
          <t>Lumbar epidural steroid injection</t>
        </is>
      </c>
      <c r="B15" s="16" t="inlineStr">
        <is>
          <t>64483</t>
        </is>
      </c>
      <c r="C15" s="17" t="n">
        <v>95</v>
      </c>
      <c r="D15" s="18" t="n">
        <v>20</v>
      </c>
      <c r="E15" s="16" t="inlineStr">
        <is>
          <t>N</t>
        </is>
      </c>
      <c r="F15" s="11" t="inlineStr">
        <is>
          <t>No implant on this procedure.</t>
        </is>
      </c>
    </row>
    <row r="16">
      <c r="A16" s="15" t="inlineStr">
        <is>
          <t>Cataract removal with lens implant</t>
        </is>
      </c>
      <c r="B16" s="16" t="inlineStr">
        <is>
          <t>66984</t>
        </is>
      </c>
      <c r="C16" s="17" t="n">
        <v>280</v>
      </c>
      <c r="D16" s="18" t="n">
        <v>25</v>
      </c>
      <c r="E16" s="16" t="inlineStr">
        <is>
          <t>Y</t>
        </is>
      </c>
      <c r="F16" s="11" t="inlineStr">
        <is>
          <t>Implant cost is on the case, never here.</t>
        </is>
      </c>
    </row>
    <row r="17">
      <c r="A17" s="15" t="inlineStr">
        <is>
          <t>Laparoscopic cholecystectomy</t>
        </is>
      </c>
      <c r="B17" s="16" t="inlineStr">
        <is>
          <t>47562</t>
        </is>
      </c>
      <c r="C17" s="17" t="n">
        <v>780</v>
      </c>
      <c r="D17" s="18" t="n">
        <v>75</v>
      </c>
      <c r="E17" s="16" t="inlineStr">
        <is>
          <t>N</t>
        </is>
      </c>
      <c r="F17" s="11" t="inlineStr">
        <is>
          <t>No implant on this procedure.</t>
        </is>
      </c>
    </row>
    <row r="18">
      <c r="A18" s="11" t="inlineStr">
        <is>
          <t>Standard supplies and minutes are what the procedure SHOULD take. Actual minutes come off the case log.</t>
        </is>
      </c>
    </row>
    <row r="20">
      <c r="A20" s="7" t="inlineStr">
        <is>
          <t>CONTRACTED FACILITY FEE — BY CPT, BY PAYER</t>
        </is>
      </c>
      <c r="B20" s="8" t="n"/>
      <c r="C20" s="8" t="n"/>
      <c r="D20" s="8" t="n"/>
      <c r="E20" s="8" t="n"/>
      <c r="F20" s="8" t="n"/>
    </row>
    <row r="21">
      <c r="A21" s="14" t="inlineStr">
        <is>
          <t>Key</t>
        </is>
      </c>
      <c r="B21" s="14" t="inlineStr">
        <is>
          <t>CPT</t>
        </is>
      </c>
      <c r="C21" s="14" t="inlineStr">
        <is>
          <t>Payer</t>
        </is>
      </c>
      <c r="D21" s="14" t="inlineStr">
        <is>
          <t>Facility fee</t>
        </is>
      </c>
      <c r="E21" s="14" t="inlineStr"/>
      <c r="F21" s="14" t="inlineStr"/>
    </row>
    <row r="22">
      <c r="A22" s="19">
        <f>B22&amp;"|"&amp;C22</f>
        <v/>
      </c>
      <c r="B22" s="16" t="inlineStr">
        <is>
          <t>29881</t>
        </is>
      </c>
      <c r="C22" s="15" t="inlineStr">
        <is>
          <t>Medicare</t>
        </is>
      </c>
      <c r="D22" s="17" t="n">
        <v>2110</v>
      </c>
    </row>
    <row r="23">
      <c r="A23" s="19">
        <f>B23&amp;"|"&amp;C23</f>
        <v/>
      </c>
      <c r="B23" s="16" t="inlineStr">
        <is>
          <t>29881</t>
        </is>
      </c>
      <c r="C23" s="15" t="inlineStr">
        <is>
          <t>Blue Cross PPO</t>
        </is>
      </c>
      <c r="D23" s="17" t="n">
        <v>4250</v>
      </c>
    </row>
    <row r="24">
      <c r="A24" s="19">
        <f>B24&amp;"|"&amp;C24</f>
        <v/>
      </c>
      <c r="B24" s="16" t="inlineStr">
        <is>
          <t>29881</t>
        </is>
      </c>
      <c r="C24" s="15" t="inlineStr">
        <is>
          <t>UnitedHealthcare</t>
        </is>
      </c>
      <c r="D24" s="17" t="n">
        <v>3900</v>
      </c>
    </row>
    <row r="25">
      <c r="A25" s="19">
        <f>B25&amp;"|"&amp;C25</f>
        <v/>
      </c>
      <c r="B25" s="16" t="inlineStr">
        <is>
          <t>29881</t>
        </is>
      </c>
      <c r="C25" s="15" t="inlineStr">
        <is>
          <t>Workers' Comp</t>
        </is>
      </c>
      <c r="D25" s="17" t="n">
        <v>5600</v>
      </c>
    </row>
    <row r="26">
      <c r="A26" s="19">
        <f>B26&amp;"|"&amp;C26</f>
        <v/>
      </c>
      <c r="B26" s="16" t="inlineStr">
        <is>
          <t>29827</t>
        </is>
      </c>
      <c r="C26" s="15" t="inlineStr">
        <is>
          <t>Medicare</t>
        </is>
      </c>
      <c r="D26" s="17" t="n">
        <v>3580</v>
      </c>
    </row>
    <row r="27">
      <c r="A27" s="19">
        <f>B27&amp;"|"&amp;C27</f>
        <v/>
      </c>
      <c r="B27" s="16" t="inlineStr">
        <is>
          <t>29827</t>
        </is>
      </c>
      <c r="C27" s="15" t="inlineStr">
        <is>
          <t>Blue Cross PPO</t>
        </is>
      </c>
      <c r="D27" s="17" t="n">
        <v>7100</v>
      </c>
    </row>
    <row r="28">
      <c r="A28" s="19">
        <f>B28&amp;"|"&amp;C28</f>
        <v/>
      </c>
      <c r="B28" s="16" t="inlineStr">
        <is>
          <t>29827</t>
        </is>
      </c>
      <c r="C28" s="15" t="inlineStr">
        <is>
          <t>UnitedHealthcare</t>
        </is>
      </c>
      <c r="D28" s="17" t="n">
        <v>6400</v>
      </c>
    </row>
    <row r="29">
      <c r="A29" s="19">
        <f>B29&amp;"|"&amp;C29</f>
        <v/>
      </c>
      <c r="B29" s="16" t="inlineStr">
        <is>
          <t>29827</t>
        </is>
      </c>
      <c r="C29" s="15" t="inlineStr">
        <is>
          <t>Workers' Comp</t>
        </is>
      </c>
      <c r="D29" s="17" t="n">
        <v>9300</v>
      </c>
    </row>
    <row r="30">
      <c r="A30" s="19">
        <f>B30&amp;"|"&amp;C30</f>
        <v/>
      </c>
      <c r="B30" s="16" t="inlineStr">
        <is>
          <t>27447</t>
        </is>
      </c>
      <c r="C30" s="15" t="inlineStr">
        <is>
          <t>Medicare</t>
        </is>
      </c>
      <c r="D30" s="17" t="n">
        <v>9150</v>
      </c>
    </row>
    <row r="31">
      <c r="A31" s="19">
        <f>B31&amp;"|"&amp;C31</f>
        <v/>
      </c>
      <c r="B31" s="16" t="inlineStr">
        <is>
          <t>27447</t>
        </is>
      </c>
      <c r="C31" s="15" t="inlineStr">
        <is>
          <t>Blue Cross PPO</t>
        </is>
      </c>
      <c r="D31" s="17" t="n">
        <v>17800</v>
      </c>
    </row>
    <row r="32">
      <c r="A32" s="19">
        <f>B32&amp;"|"&amp;C32</f>
        <v/>
      </c>
      <c r="B32" s="16" t="inlineStr">
        <is>
          <t>27447</t>
        </is>
      </c>
      <c r="C32" s="15" t="inlineStr">
        <is>
          <t>UnitedHealthcare</t>
        </is>
      </c>
      <c r="D32" s="17" t="n">
        <v>15900</v>
      </c>
    </row>
    <row r="33">
      <c r="A33" s="19">
        <f>B33&amp;"|"&amp;C33</f>
        <v/>
      </c>
      <c r="B33" s="16" t="inlineStr">
        <is>
          <t>27447</t>
        </is>
      </c>
      <c r="C33" s="15" t="inlineStr">
        <is>
          <t>Workers' Comp</t>
        </is>
      </c>
      <c r="D33" s="17" t="n">
        <v>21500</v>
      </c>
    </row>
    <row r="34">
      <c r="A34" s="19">
        <f>B34&amp;"|"&amp;C34</f>
        <v/>
      </c>
      <c r="B34" s="16" t="inlineStr">
        <is>
          <t>64483</t>
        </is>
      </c>
      <c r="C34" s="15" t="inlineStr">
        <is>
          <t>Medicare</t>
        </is>
      </c>
      <c r="D34" s="17" t="n">
        <v>540</v>
      </c>
    </row>
    <row r="35">
      <c r="A35" s="19">
        <f>B35&amp;"|"&amp;C35</f>
        <v/>
      </c>
      <c r="B35" s="16" t="inlineStr">
        <is>
          <t>64483</t>
        </is>
      </c>
      <c r="C35" s="15" t="inlineStr">
        <is>
          <t>Blue Cross PPO</t>
        </is>
      </c>
      <c r="D35" s="17" t="n">
        <v>1150</v>
      </c>
    </row>
    <row r="36">
      <c r="A36" s="19">
        <f>B36&amp;"|"&amp;C36</f>
        <v/>
      </c>
      <c r="B36" s="16" t="inlineStr">
        <is>
          <t>64483</t>
        </is>
      </c>
      <c r="C36" s="15" t="inlineStr">
        <is>
          <t>UnitedHealthcare</t>
        </is>
      </c>
      <c r="D36" s="17" t="n">
        <v>980</v>
      </c>
    </row>
    <row r="37">
      <c r="A37" s="19">
        <f>B37&amp;"|"&amp;C37</f>
        <v/>
      </c>
      <c r="B37" s="16" t="inlineStr">
        <is>
          <t>64483</t>
        </is>
      </c>
      <c r="C37" s="15" t="inlineStr">
        <is>
          <t>Workers' Comp</t>
        </is>
      </c>
      <c r="D37" s="17" t="n">
        <v>1400</v>
      </c>
    </row>
    <row r="38">
      <c r="A38" s="19">
        <f>B38&amp;"|"&amp;C38</f>
        <v/>
      </c>
      <c r="B38" s="16" t="inlineStr">
        <is>
          <t>66984</t>
        </is>
      </c>
      <c r="C38" s="15" t="inlineStr">
        <is>
          <t>Medicare</t>
        </is>
      </c>
      <c r="D38" s="17" t="n">
        <v>1080</v>
      </c>
    </row>
    <row r="39">
      <c r="A39" s="19">
        <f>B39&amp;"|"&amp;C39</f>
        <v/>
      </c>
      <c r="B39" s="16" t="inlineStr">
        <is>
          <t>66984</t>
        </is>
      </c>
      <c r="C39" s="15" t="inlineStr">
        <is>
          <t>Blue Cross PPO</t>
        </is>
      </c>
      <c r="D39" s="17" t="n">
        <v>1900</v>
      </c>
    </row>
    <row r="40">
      <c r="A40" s="19">
        <f>B40&amp;"|"&amp;C40</f>
        <v/>
      </c>
      <c r="B40" s="16" t="inlineStr">
        <is>
          <t>66984</t>
        </is>
      </c>
      <c r="C40" s="15" t="inlineStr">
        <is>
          <t>UnitedHealthcare</t>
        </is>
      </c>
      <c r="D40" s="17" t="n">
        <v>1750</v>
      </c>
    </row>
    <row r="41">
      <c r="A41" s="19">
        <f>B41&amp;"|"&amp;C41</f>
        <v/>
      </c>
      <c r="B41" s="16" t="inlineStr">
        <is>
          <t>66984</t>
        </is>
      </c>
      <c r="C41" s="15" t="inlineStr">
        <is>
          <t>Workers' Comp</t>
        </is>
      </c>
      <c r="D41" s="17" t="n">
        <v>2200</v>
      </c>
    </row>
    <row r="42">
      <c r="A42" s="19">
        <f>B42&amp;"|"&amp;C42</f>
        <v/>
      </c>
      <c r="B42" s="16" t="inlineStr">
        <is>
          <t>47562</t>
        </is>
      </c>
      <c r="C42" s="15" t="inlineStr">
        <is>
          <t>Medicare</t>
        </is>
      </c>
      <c r="D42" s="17" t="n">
        <v>2950</v>
      </c>
    </row>
    <row r="43">
      <c r="A43" s="19">
        <f>B43&amp;"|"&amp;C43</f>
        <v/>
      </c>
      <c r="B43" s="16" t="inlineStr">
        <is>
          <t>47562</t>
        </is>
      </c>
      <c r="C43" s="15" t="inlineStr">
        <is>
          <t>Blue Cross PPO</t>
        </is>
      </c>
      <c r="D43" s="17" t="n">
        <v>6100</v>
      </c>
    </row>
    <row r="44">
      <c r="A44" s="19">
        <f>B44&amp;"|"&amp;C44</f>
        <v/>
      </c>
      <c r="B44" s="16" t="inlineStr">
        <is>
          <t>47562</t>
        </is>
      </c>
      <c r="C44" s="15" t="inlineStr">
        <is>
          <t>UnitedHealthcare</t>
        </is>
      </c>
      <c r="D44" s="17" t="n">
        <v>5500</v>
      </c>
    </row>
    <row r="45">
      <c r="A45" s="19">
        <f>B45&amp;"|"&amp;C45</f>
        <v/>
      </c>
      <c r="B45" s="16" t="inlineStr">
        <is>
          <t>47562</t>
        </is>
      </c>
      <c r="C45" s="15" t="inlineStr">
        <is>
          <t>Workers' Comp</t>
        </is>
      </c>
      <c r="D45" s="17" t="n">
        <v>7900</v>
      </c>
    </row>
    <row r="46">
      <c r="A46" s="11" t="inlineStr">
        <is>
          <t>The key column joins CPT and payer so the Costing sheet can look a case up in one MATCH. Add a contract by adding a row.</t>
        </is>
      </c>
    </row>
    <row r="48">
      <c r="A48" s="5" t="n"/>
      <c r="B48" s="5" t="n"/>
      <c r="C48" s="5" t="n"/>
      <c r="D48" s="5" t="n"/>
      <c r="E48" s="5" t="n"/>
      <c r="F48" s="5" t="n"/>
    </row>
    <row r="49">
      <c r="A49" s="6" t="inlineStr">
        <is>
          <t>Spreadsheet Studio template v1.0  ·  built for this client, formulas live</t>
        </is>
      </c>
    </row>
  </sheetData>
  <dataValidations count="2">
    <dataValidation sqref="E12:E17" showDropDown="0" showInputMessage="0" showErrorMessage="0" allowBlank="1" type="list">
      <formula1>"Y,N"</formula1>
    </dataValidation>
    <dataValidation sqref="C22:C45" showDropDown="0" showInputMessage="0" showErrorMessage="0" allowBlank="1" type="list">
      <formula1>"Medicare,Blue Cross PPO,UnitedHealthcare,Workers' Comp"</formula1>
    </dataValidation>
  </dataValidations>
  <pageMargins left="0.75" right="0.75" top="1" bottom="1" header="0.5" footer="0.5"/>
  <pageSetup orientation="landscape" fitToWidth="1"/>
</worksheet>
</file>

<file path=xl/worksheets/sheet3.xml><?xml version="1.0" encoding="utf-8"?>
<worksheet xmlns="http://schemas.openxmlformats.org/spreadsheetml/2006/main">
  <sheetPr>
    <tabColor rgb="001F6F4A"/>
    <outlinePr summaryBelow="1" summaryRight="1"/>
    <pageSetUpPr fitToPage="1"/>
  </sheetPr>
  <dimension ref="A2:G52"/>
  <sheetViews>
    <sheetView showGridLines="0" zoomScale="110" workbookViewId="0">
      <pane xSplit="2" ySplit="5" topLeftCell="C6" activePane="bottomRight" state="frozen"/>
      <selection pane="topRight"/>
      <selection pane="bottomLeft"/>
      <selection pane="bottomRight" activeCell="A1" sqref="A1"/>
    </sheetView>
  </sheetViews>
  <sheetFormatPr baseColWidth="8" defaultRowHeight="15"/>
  <cols>
    <col width="11" customWidth="1" min="1" max="1"/>
    <col width="12" customWidth="1" min="2" max="2"/>
    <col width="9" customWidth="1" min="3" max="3"/>
    <col width="20" customWidth="1" min="4" max="4"/>
    <col width="16" customWidth="1" min="5" max="5"/>
    <col width="12" customWidth="1" min="6" max="6"/>
    <col width="14" customWidth="1" min="7" max="7"/>
  </cols>
  <sheetData>
    <row r="2">
      <c r="A2" s="1">
        <f>Client_Name&amp;" — cases performed"</f>
        <v/>
      </c>
    </row>
    <row r="3">
      <c r="A3" s="2" t="inlineStr">
        <is>
          <t>The paste grid. One row per case, straight from the case log and the implant invoices. Every cell is yellow because every cell is theirs.</t>
        </is>
      </c>
    </row>
    <row r="5">
      <c r="A5" s="14" t="inlineStr">
        <is>
          <t>Case ID</t>
        </is>
      </c>
      <c r="B5" s="14" t="inlineStr">
        <is>
          <t>Date</t>
        </is>
      </c>
      <c r="C5" s="14" t="inlineStr">
        <is>
          <t>CPT</t>
        </is>
      </c>
      <c r="D5" s="14" t="inlineStr">
        <is>
          <t>Payer</t>
        </is>
      </c>
      <c r="E5" s="14" t="inlineStr">
        <is>
          <t>Surgeon</t>
        </is>
      </c>
      <c r="F5" s="14" t="inlineStr">
        <is>
          <t>OR minutes</t>
        </is>
      </c>
      <c r="G5" s="14" t="inlineStr">
        <is>
          <t>Implant cost</t>
        </is>
      </c>
    </row>
    <row r="6">
      <c r="A6" s="16" t="inlineStr">
        <is>
          <t>LS-2041</t>
        </is>
      </c>
      <c r="B6" s="12" t="n">
        <v>46113</v>
      </c>
      <c r="C6" s="16" t="inlineStr">
        <is>
          <t>29881</t>
        </is>
      </c>
      <c r="D6" s="15" t="inlineStr">
        <is>
          <t>Blue Cross PPO</t>
        </is>
      </c>
      <c r="E6" s="15" t="inlineStr">
        <is>
          <t>Dr. Okonkwo</t>
        </is>
      </c>
      <c r="F6" s="18" t="n">
        <v>52</v>
      </c>
      <c r="G6" s="17" t="n">
        <v>0</v>
      </c>
    </row>
    <row r="7">
      <c r="A7" s="16" t="inlineStr">
        <is>
          <t>LS-2042</t>
        </is>
      </c>
      <c r="B7" s="12" t="n">
        <v>46114</v>
      </c>
      <c r="C7" s="16" t="inlineStr">
        <is>
          <t>27447</t>
        </is>
      </c>
      <c r="D7" s="15" t="inlineStr">
        <is>
          <t>Medicare</t>
        </is>
      </c>
      <c r="E7" s="15" t="inlineStr">
        <is>
          <t>Dr. Halvorsen</t>
        </is>
      </c>
      <c r="F7" s="18" t="n">
        <v>138</v>
      </c>
      <c r="G7" s="17" t="n">
        <v>6900</v>
      </c>
    </row>
    <row r="8">
      <c r="A8" s="16" t="inlineStr">
        <is>
          <t>LS-2043</t>
        </is>
      </c>
      <c r="B8" s="12" t="n">
        <v>46114</v>
      </c>
      <c r="C8" s="16" t="inlineStr">
        <is>
          <t>64483</t>
        </is>
      </c>
      <c r="D8" s="15" t="inlineStr">
        <is>
          <t>UnitedHealthcare</t>
        </is>
      </c>
      <c r="E8" s="15" t="inlineStr">
        <is>
          <t>Dr. Reyes</t>
        </is>
      </c>
      <c r="F8" s="18" t="n">
        <v>18</v>
      </c>
      <c r="G8" s="17" t="n">
        <v>0</v>
      </c>
    </row>
    <row r="9">
      <c r="A9" s="16" t="inlineStr">
        <is>
          <t>LS-2044</t>
        </is>
      </c>
      <c r="B9" s="12" t="n">
        <v>46118</v>
      </c>
      <c r="C9" s="16" t="inlineStr">
        <is>
          <t>66984</t>
        </is>
      </c>
      <c r="D9" s="15" t="inlineStr">
        <is>
          <t>Medicare</t>
        </is>
      </c>
      <c r="E9" s="15" t="inlineStr">
        <is>
          <t>Dr. Bhatt</t>
        </is>
      </c>
      <c r="F9" s="18" t="n">
        <v>24</v>
      </c>
      <c r="G9" s="17" t="n">
        <v>165</v>
      </c>
    </row>
    <row r="10">
      <c r="A10" s="16" t="inlineStr">
        <is>
          <t>LS-2045</t>
        </is>
      </c>
      <c r="B10" s="12" t="n">
        <v>46119</v>
      </c>
      <c r="C10" s="16" t="inlineStr">
        <is>
          <t>29827</t>
        </is>
      </c>
      <c r="D10" s="15" t="inlineStr">
        <is>
          <t>Blue Cross PPO</t>
        </is>
      </c>
      <c r="E10" s="15" t="inlineStr">
        <is>
          <t>Dr. Okonkwo</t>
        </is>
      </c>
      <c r="F10" s="18" t="n">
        <v>92</v>
      </c>
      <c r="G10" s="17" t="n">
        <v>1150</v>
      </c>
    </row>
    <row r="11">
      <c r="A11" s="16" t="inlineStr">
        <is>
          <t>LS-2046</t>
        </is>
      </c>
      <c r="B11" s="12" t="n">
        <v>46120</v>
      </c>
      <c r="C11" s="16" t="inlineStr">
        <is>
          <t>47562</t>
        </is>
      </c>
      <c r="D11" s="15" t="inlineStr">
        <is>
          <t>UnitedHealthcare</t>
        </is>
      </c>
      <c r="E11" s="15" t="inlineStr">
        <is>
          <t>Dr. Reyes</t>
        </is>
      </c>
      <c r="F11" s="18" t="n">
        <v>78</v>
      </c>
      <c r="G11" s="17" t="n">
        <v>0</v>
      </c>
    </row>
    <row r="12">
      <c r="A12" s="16" t="inlineStr">
        <is>
          <t>LS-2047</t>
        </is>
      </c>
      <c r="B12" s="12" t="n">
        <v>46121</v>
      </c>
      <c r="C12" s="16" t="inlineStr">
        <is>
          <t>66984</t>
        </is>
      </c>
      <c r="D12" s="15" t="inlineStr">
        <is>
          <t>Blue Cross PPO</t>
        </is>
      </c>
      <c r="E12" s="15" t="inlineStr">
        <is>
          <t>Dr. Bhatt</t>
        </is>
      </c>
      <c r="F12" s="18" t="n">
        <v>26</v>
      </c>
      <c r="G12" s="17" t="n">
        <v>165</v>
      </c>
    </row>
    <row r="13">
      <c r="A13" s="16" t="inlineStr">
        <is>
          <t>LS-2048</t>
        </is>
      </c>
      <c r="B13" s="12" t="n">
        <v>46125</v>
      </c>
      <c r="C13" s="16" t="inlineStr">
        <is>
          <t>29827</t>
        </is>
      </c>
      <c r="D13" s="15" t="inlineStr">
        <is>
          <t>Medicare</t>
        </is>
      </c>
      <c r="E13" s="15" t="inlineStr">
        <is>
          <t>Dr. Okonkwo</t>
        </is>
      </c>
      <c r="F13" s="18" t="n">
        <v>95</v>
      </c>
      <c r="G13" s="17" t="n">
        <v>1720</v>
      </c>
    </row>
    <row r="14">
      <c r="A14" s="16" t="inlineStr">
        <is>
          <t>LS-2049</t>
        </is>
      </c>
      <c r="B14" s="12" t="n">
        <v>46126</v>
      </c>
      <c r="C14" s="16" t="inlineStr">
        <is>
          <t>27447</t>
        </is>
      </c>
      <c r="D14" s="15" t="inlineStr">
        <is>
          <t>Blue Cross PPO</t>
        </is>
      </c>
      <c r="E14" s="15" t="inlineStr">
        <is>
          <t>Dr. Halvorsen</t>
        </is>
      </c>
      <c r="F14" s="18" t="n">
        <v>128</v>
      </c>
      <c r="G14" s="17" t="n">
        <v>5050</v>
      </c>
    </row>
    <row r="15">
      <c r="A15" s="16" t="inlineStr">
        <is>
          <t>LS-2050</t>
        </is>
      </c>
      <c r="B15" s="12" t="n">
        <v>46127</v>
      </c>
      <c r="C15" s="16" t="inlineStr">
        <is>
          <t>64483</t>
        </is>
      </c>
      <c r="D15" s="15" t="inlineStr">
        <is>
          <t>Medicare</t>
        </is>
      </c>
      <c r="E15" s="15" t="inlineStr">
        <is>
          <t>Dr. Reyes</t>
        </is>
      </c>
      <c r="F15" s="18" t="n">
        <v>20</v>
      </c>
      <c r="G15" s="17" t="n">
        <v>0</v>
      </c>
    </row>
    <row r="16">
      <c r="A16" s="16" t="inlineStr">
        <is>
          <t>LS-2051</t>
        </is>
      </c>
      <c r="B16" s="12" t="n">
        <v>46128</v>
      </c>
      <c r="C16" s="16" t="inlineStr">
        <is>
          <t>29881</t>
        </is>
      </c>
      <c r="D16" s="15" t="inlineStr">
        <is>
          <t>Workers' Comp</t>
        </is>
      </c>
      <c r="E16" s="15" t="inlineStr">
        <is>
          <t>Dr. Okonkwo</t>
        </is>
      </c>
      <c r="F16" s="18" t="n">
        <v>58</v>
      </c>
      <c r="G16" s="17" t="n">
        <v>0</v>
      </c>
    </row>
    <row r="17">
      <c r="A17" s="16" t="inlineStr">
        <is>
          <t>LS-2052</t>
        </is>
      </c>
      <c r="B17" s="12" t="n">
        <v>46132</v>
      </c>
      <c r="C17" s="16" t="inlineStr">
        <is>
          <t>66984</t>
        </is>
      </c>
      <c r="D17" s="15" t="inlineStr">
        <is>
          <t>Medicare</t>
        </is>
      </c>
      <c r="E17" s="15" t="inlineStr">
        <is>
          <t>Dr. Bhatt</t>
        </is>
      </c>
      <c r="F17" s="18" t="n">
        <v>27</v>
      </c>
      <c r="G17" s="17" t="n">
        <v>620</v>
      </c>
    </row>
    <row r="18">
      <c r="A18" s="16" t="inlineStr">
        <is>
          <t>LS-2053</t>
        </is>
      </c>
      <c r="B18" s="12" t="n">
        <v>46133</v>
      </c>
      <c r="C18" s="16" t="inlineStr">
        <is>
          <t>47562</t>
        </is>
      </c>
      <c r="D18" s="15" t="inlineStr">
        <is>
          <t>Medicare</t>
        </is>
      </c>
      <c r="E18" s="15" t="inlineStr">
        <is>
          <t>Dr. Reyes</t>
        </is>
      </c>
      <c r="F18" s="18" t="n">
        <v>135</v>
      </c>
      <c r="G18" s="17" t="n">
        <v>0</v>
      </c>
    </row>
    <row r="19">
      <c r="A19" s="16" t="inlineStr">
        <is>
          <t>LS-2054</t>
        </is>
      </c>
      <c r="B19" s="12" t="n">
        <v>46134</v>
      </c>
      <c r="C19" s="16" t="inlineStr">
        <is>
          <t>29881</t>
        </is>
      </c>
      <c r="D19" s="15" t="inlineStr">
        <is>
          <t>Medicare</t>
        </is>
      </c>
      <c r="E19" s="15" t="inlineStr">
        <is>
          <t>Dr. Okonkwo</t>
        </is>
      </c>
      <c r="F19" s="18" t="n">
        <v>55</v>
      </c>
      <c r="G19" s="17" t="n">
        <v>0</v>
      </c>
    </row>
    <row r="20">
      <c r="A20" s="16" t="inlineStr">
        <is>
          <t>LS-2055</t>
        </is>
      </c>
      <c r="B20" s="12" t="n">
        <v>46135</v>
      </c>
      <c r="C20" s="16" t="inlineStr">
        <is>
          <t>27447</t>
        </is>
      </c>
      <c r="D20" s="15" t="inlineStr">
        <is>
          <t>UnitedHealthcare</t>
        </is>
      </c>
      <c r="E20" s="15" t="inlineStr">
        <is>
          <t>Dr. Halvorsen</t>
        </is>
      </c>
      <c r="F20" s="18" t="n">
        <v>132</v>
      </c>
      <c r="G20" s="17" t="n">
        <v>5100</v>
      </c>
    </row>
    <row r="21">
      <c r="A21" s="16" t="inlineStr">
        <is>
          <t>LS-2056</t>
        </is>
      </c>
      <c r="B21" s="12" t="n">
        <v>46139</v>
      </c>
      <c r="C21" s="16" t="inlineStr">
        <is>
          <t>64483</t>
        </is>
      </c>
      <c r="D21" s="15" t="inlineStr">
        <is>
          <t>Blue Cross PPO</t>
        </is>
      </c>
      <c r="E21" s="15" t="inlineStr">
        <is>
          <t>Dr. Reyes</t>
        </is>
      </c>
      <c r="F21" s="18" t="n">
        <v>19</v>
      </c>
      <c r="G21" s="17" t="n">
        <v>0</v>
      </c>
    </row>
    <row r="22">
      <c r="A22" s="16" t="inlineStr">
        <is>
          <t>LS-2057</t>
        </is>
      </c>
      <c r="B22" s="12" t="n">
        <v>46140</v>
      </c>
      <c r="C22" s="16" t="inlineStr">
        <is>
          <t>66984</t>
        </is>
      </c>
      <c r="D22" s="15" t="inlineStr">
        <is>
          <t>UnitedHealthcare</t>
        </is>
      </c>
      <c r="E22" s="15" t="inlineStr">
        <is>
          <t>Dr. Bhatt</t>
        </is>
      </c>
      <c r="F22" s="18" t="n">
        <v>25</v>
      </c>
      <c r="G22" s="17" t="n">
        <v>165</v>
      </c>
    </row>
    <row r="23">
      <c r="A23" s="16" t="inlineStr">
        <is>
          <t>LS-2058</t>
        </is>
      </c>
      <c r="B23" s="12" t="n">
        <v>46141</v>
      </c>
      <c r="C23" s="16" t="inlineStr">
        <is>
          <t>29827</t>
        </is>
      </c>
      <c r="D23" s="15" t="inlineStr">
        <is>
          <t>Workers' Comp</t>
        </is>
      </c>
      <c r="E23" s="15" t="inlineStr">
        <is>
          <t>Dr. Okonkwo</t>
        </is>
      </c>
      <c r="F23" s="18" t="n">
        <v>100</v>
      </c>
      <c r="G23" s="17" t="n">
        <v>1100</v>
      </c>
    </row>
    <row r="24">
      <c r="A24" s="16" t="inlineStr">
        <is>
          <t>LS-2059</t>
        </is>
      </c>
      <c r="B24" s="12" t="n">
        <v>46146</v>
      </c>
      <c r="C24" s="16" t="inlineStr">
        <is>
          <t>47562</t>
        </is>
      </c>
      <c r="D24" s="15" t="inlineStr">
        <is>
          <t>Blue Cross PPO</t>
        </is>
      </c>
      <c r="E24" s="15" t="inlineStr">
        <is>
          <t>Dr. Reyes</t>
        </is>
      </c>
      <c r="F24" s="18" t="n">
        <v>72</v>
      </c>
      <c r="G24" s="17" t="n">
        <v>0</v>
      </c>
    </row>
    <row r="25">
      <c r="A25" s="16" t="inlineStr">
        <is>
          <t>LS-2060</t>
        </is>
      </c>
      <c r="B25" s="12" t="n">
        <v>46147</v>
      </c>
      <c r="C25" s="16" t="inlineStr">
        <is>
          <t>27447</t>
        </is>
      </c>
      <c r="D25" s="15" t="inlineStr">
        <is>
          <t>Medicare</t>
        </is>
      </c>
      <c r="E25" s="15" t="inlineStr">
        <is>
          <t>Dr. Halvorsen</t>
        </is>
      </c>
      <c r="F25" s="18" t="n">
        <v>137</v>
      </c>
      <c r="G25" s="17" t="n">
        <v>7150</v>
      </c>
    </row>
    <row r="26">
      <c r="A26" s="16" t="inlineStr">
        <is>
          <t>LS-2061</t>
        </is>
      </c>
      <c r="B26" s="12" t="n">
        <v>46148</v>
      </c>
      <c r="C26" s="16" t="inlineStr">
        <is>
          <t>29881</t>
        </is>
      </c>
      <c r="D26" s="15" t="inlineStr">
        <is>
          <t>UnitedHealthcare</t>
        </is>
      </c>
      <c r="E26" s="15" t="inlineStr">
        <is>
          <t>Dr. Okonkwo</t>
        </is>
      </c>
      <c r="F26" s="18" t="n">
        <v>50</v>
      </c>
      <c r="G26" s="17" t="n">
        <v>0</v>
      </c>
    </row>
    <row r="27">
      <c r="A27" s="16" t="inlineStr">
        <is>
          <t>LS-2062</t>
        </is>
      </c>
      <c r="B27" s="12" t="n">
        <v>46149</v>
      </c>
      <c r="C27" s="16" t="inlineStr">
        <is>
          <t>66984</t>
        </is>
      </c>
      <c r="D27" s="15" t="inlineStr">
        <is>
          <t>Medicare</t>
        </is>
      </c>
      <c r="E27" s="15" t="inlineStr">
        <is>
          <t>Dr. Bhatt</t>
        </is>
      </c>
      <c r="F27" s="18" t="n">
        <v>23</v>
      </c>
      <c r="G27" s="17" t="n">
        <v>165</v>
      </c>
    </row>
    <row r="28">
      <c r="A28" s="16" t="inlineStr">
        <is>
          <t>LS-2063</t>
        </is>
      </c>
      <c r="B28" s="12" t="n">
        <v>46153</v>
      </c>
      <c r="C28" s="16" t="inlineStr">
        <is>
          <t>64483</t>
        </is>
      </c>
      <c r="D28" s="15" t="inlineStr">
        <is>
          <t>Medicare</t>
        </is>
      </c>
      <c r="E28" s="15" t="inlineStr">
        <is>
          <t>Dr. Reyes</t>
        </is>
      </c>
      <c r="F28" s="18" t="n">
        <v>21</v>
      </c>
      <c r="G28" s="17" t="n">
        <v>0</v>
      </c>
    </row>
    <row r="29">
      <c r="A29" s="16" t="inlineStr">
        <is>
          <t>LS-2064</t>
        </is>
      </c>
      <c r="B29" s="12" t="n">
        <v>46154</v>
      </c>
      <c r="C29" s="16" t="inlineStr">
        <is>
          <t>29827</t>
        </is>
      </c>
      <c r="D29" s="15" t="inlineStr">
        <is>
          <t>UnitedHealthcare</t>
        </is>
      </c>
      <c r="E29" s="15" t="inlineStr">
        <is>
          <t>Dr. Okonkwo</t>
        </is>
      </c>
      <c r="F29" s="18" t="n">
        <v>94</v>
      </c>
      <c r="G29" s="17" t="n">
        <v>1200</v>
      </c>
    </row>
    <row r="30">
      <c r="A30" s="16" t="inlineStr">
        <is>
          <t>LS-2065</t>
        </is>
      </c>
      <c r="B30" s="12" t="n">
        <v>46155</v>
      </c>
      <c r="C30" s="16" t="inlineStr">
        <is>
          <t>66984</t>
        </is>
      </c>
      <c r="D30" s="15" t="inlineStr">
        <is>
          <t>Blue Cross PPO</t>
        </is>
      </c>
      <c r="E30" s="15" t="inlineStr">
        <is>
          <t>Dr. Bhatt</t>
        </is>
      </c>
      <c r="F30" s="18" t="n">
        <v>24</v>
      </c>
      <c r="G30" s="17" t="n">
        <v>165</v>
      </c>
    </row>
    <row r="31">
      <c r="A31" s="16" t="inlineStr">
        <is>
          <t>LS-2066</t>
        </is>
      </c>
      <c r="B31" s="12" t="n">
        <v>46156</v>
      </c>
      <c r="C31" s="16" t="inlineStr">
        <is>
          <t>47562</t>
        </is>
      </c>
      <c r="D31" s="15" t="inlineStr">
        <is>
          <t>Medicare</t>
        </is>
      </c>
      <c r="E31" s="15" t="inlineStr">
        <is>
          <t>Dr. Reyes</t>
        </is>
      </c>
      <c r="F31" s="18" t="n">
        <v>82</v>
      </c>
      <c r="G31" s="17" t="n">
        <v>0</v>
      </c>
    </row>
    <row r="32">
      <c r="A32" s="16" t="inlineStr">
        <is>
          <t>LS-2067</t>
        </is>
      </c>
      <c r="B32" s="12" t="n">
        <v>46160</v>
      </c>
      <c r="C32" s="16" t="inlineStr">
        <is>
          <t>27447</t>
        </is>
      </c>
      <c r="D32" s="15" t="inlineStr">
        <is>
          <t>Workers' Comp</t>
        </is>
      </c>
      <c r="E32" s="15" t="inlineStr">
        <is>
          <t>Dr. Halvorsen</t>
        </is>
      </c>
      <c r="F32" s="18" t="n">
        <v>126</v>
      </c>
      <c r="G32" s="17" t="n">
        <v>5200</v>
      </c>
    </row>
    <row r="33">
      <c r="A33" s="16" t="inlineStr">
        <is>
          <t>LS-2068</t>
        </is>
      </c>
      <c r="B33" s="12" t="n">
        <v>46161</v>
      </c>
      <c r="C33" s="16" t="inlineStr">
        <is>
          <t>29881</t>
        </is>
      </c>
      <c r="D33" s="15" t="inlineStr">
        <is>
          <t>Blue Cross PPO</t>
        </is>
      </c>
      <c r="E33" s="15" t="inlineStr">
        <is>
          <t>Dr. Okonkwo</t>
        </is>
      </c>
      <c r="F33" s="18" t="n">
        <v>54</v>
      </c>
      <c r="G33" s="17" t="n">
        <v>0</v>
      </c>
    </row>
    <row r="34">
      <c r="A34" s="16" t="inlineStr">
        <is>
          <t>LS-2069</t>
        </is>
      </c>
      <c r="B34" s="12" t="n">
        <v>46162</v>
      </c>
      <c r="C34" s="16" t="inlineStr">
        <is>
          <t>64483</t>
        </is>
      </c>
      <c r="D34" s="15" t="inlineStr">
        <is>
          <t>Workers' Comp</t>
        </is>
      </c>
      <c r="E34" s="15" t="inlineStr">
        <is>
          <t>Dr. Reyes</t>
        </is>
      </c>
      <c r="F34" s="18" t="n">
        <v>22</v>
      </c>
      <c r="G34" s="17" t="n">
        <v>0</v>
      </c>
    </row>
    <row r="35">
      <c r="A35" s="16" t="inlineStr">
        <is>
          <t>LS-2070</t>
        </is>
      </c>
      <c r="B35" s="12" t="n">
        <v>46163</v>
      </c>
      <c r="C35" s="16" t="inlineStr">
        <is>
          <t>29827</t>
        </is>
      </c>
      <c r="D35" s="15" t="inlineStr">
        <is>
          <t>Medicare</t>
        </is>
      </c>
      <c r="E35" s="15" t="inlineStr">
        <is>
          <t>Dr. Okonkwo</t>
        </is>
      </c>
      <c r="F35" s="18" t="n">
        <v>94</v>
      </c>
      <c r="G35" s="17" t="n">
        <v>1890</v>
      </c>
    </row>
    <row r="36">
      <c r="A36" s="16" t="inlineStr">
        <is>
          <t>LS-2071</t>
        </is>
      </c>
      <c r="B36" s="12" t="n">
        <v>46168</v>
      </c>
      <c r="C36" s="16" t="inlineStr">
        <is>
          <t>66984</t>
        </is>
      </c>
      <c r="D36" s="15" t="inlineStr">
        <is>
          <t>UnitedHealthcare</t>
        </is>
      </c>
      <c r="E36" s="15" t="inlineStr">
        <is>
          <t>Dr. Bhatt</t>
        </is>
      </c>
      <c r="F36" s="18" t="n">
        <v>26</v>
      </c>
      <c r="G36" s="17" t="n">
        <v>165</v>
      </c>
    </row>
    <row r="37">
      <c r="A37" s="16" t="inlineStr">
        <is>
          <t>LS-2072</t>
        </is>
      </c>
      <c r="B37" s="12" t="n">
        <v>46169</v>
      </c>
      <c r="C37" s="16" t="inlineStr">
        <is>
          <t>47562</t>
        </is>
      </c>
      <c r="D37" s="15" t="inlineStr">
        <is>
          <t>UnitedHealthcare</t>
        </is>
      </c>
      <c r="E37" s="15" t="inlineStr">
        <is>
          <t>Dr. Reyes</t>
        </is>
      </c>
      <c r="F37" s="18" t="n">
        <v>76</v>
      </c>
      <c r="G37" s="17" t="n">
        <v>0</v>
      </c>
    </row>
    <row r="38">
      <c r="A38" s="16" t="inlineStr">
        <is>
          <t>LS-2073</t>
        </is>
      </c>
      <c r="B38" s="12" t="n">
        <v>46174</v>
      </c>
      <c r="C38" s="16" t="inlineStr">
        <is>
          <t>29881</t>
        </is>
      </c>
      <c r="D38" s="15" t="inlineStr">
        <is>
          <t>Medicare</t>
        </is>
      </c>
      <c r="E38" s="15" t="inlineStr">
        <is>
          <t>Dr. Okonkwo</t>
        </is>
      </c>
      <c r="F38" s="18" t="n">
        <v>57</v>
      </c>
      <c r="G38" s="17" t="n">
        <v>0</v>
      </c>
    </row>
    <row r="39">
      <c r="A39" s="16" t="inlineStr">
        <is>
          <t>LS-2074</t>
        </is>
      </c>
      <c r="B39" s="12" t="n">
        <v>46175</v>
      </c>
      <c r="C39" s="16" t="inlineStr">
        <is>
          <t>27447</t>
        </is>
      </c>
      <c r="D39" s="15" t="inlineStr">
        <is>
          <t>Blue Cross PPO</t>
        </is>
      </c>
      <c r="E39" s="15" t="inlineStr">
        <is>
          <t>Dr. Halvorsen</t>
        </is>
      </c>
      <c r="F39" s="18" t="n">
        <v>134</v>
      </c>
      <c r="G39" s="17" t="n">
        <v>5150</v>
      </c>
    </row>
    <row r="40">
      <c r="A40" s="16" t="inlineStr">
        <is>
          <t>LS-2075</t>
        </is>
      </c>
      <c r="B40" s="12" t="n">
        <v>46176</v>
      </c>
      <c r="C40" s="16" t="inlineStr">
        <is>
          <t>64483</t>
        </is>
      </c>
      <c r="D40" s="15" t="inlineStr">
        <is>
          <t>UnitedHealthcare</t>
        </is>
      </c>
      <c r="E40" s="15" t="inlineStr">
        <is>
          <t>Dr. Reyes</t>
        </is>
      </c>
      <c r="F40" s="18" t="n">
        <v>18</v>
      </c>
      <c r="G40" s="17" t="n">
        <v>0</v>
      </c>
    </row>
    <row r="41">
      <c r="A41" s="16" t="inlineStr">
        <is>
          <t>LS-2076</t>
        </is>
      </c>
      <c r="B41" s="12" t="n">
        <v>46181</v>
      </c>
      <c r="C41" s="16" t="inlineStr">
        <is>
          <t>66984</t>
        </is>
      </c>
      <c r="D41" s="15" t="inlineStr">
        <is>
          <t>Medicare</t>
        </is>
      </c>
      <c r="E41" s="15" t="inlineStr">
        <is>
          <t>Dr. Bhatt</t>
        </is>
      </c>
      <c r="F41" s="18" t="n">
        <v>25</v>
      </c>
      <c r="G41" s="17" t="n">
        <v>165</v>
      </c>
    </row>
    <row r="42">
      <c r="A42" s="16" t="inlineStr">
        <is>
          <t>LS-2077</t>
        </is>
      </c>
      <c r="B42" s="12" t="n">
        <v>46182</v>
      </c>
      <c r="C42" s="16" t="inlineStr">
        <is>
          <t>29827</t>
        </is>
      </c>
      <c r="D42" s="15" t="inlineStr">
        <is>
          <t>Blue Cross PPO</t>
        </is>
      </c>
      <c r="E42" s="15" t="inlineStr">
        <is>
          <t>Dr. Okonkwo</t>
        </is>
      </c>
      <c r="F42" s="18" t="n">
        <v>90</v>
      </c>
      <c r="G42" s="17" t="n">
        <v>1250</v>
      </c>
    </row>
    <row r="43">
      <c r="A43" s="16" t="inlineStr">
        <is>
          <t>LS-2078</t>
        </is>
      </c>
      <c r="B43" s="12" t="n">
        <v>46183</v>
      </c>
      <c r="C43" s="16" t="inlineStr">
        <is>
          <t>47562</t>
        </is>
      </c>
      <c r="D43" s="15" t="inlineStr">
        <is>
          <t>Workers' Comp</t>
        </is>
      </c>
      <c r="E43" s="15" t="inlineStr">
        <is>
          <t>Dr. Reyes</t>
        </is>
      </c>
      <c r="F43" s="18" t="n">
        <v>80</v>
      </c>
      <c r="G43" s="17" t="n">
        <v>0</v>
      </c>
    </row>
    <row r="44">
      <c r="A44" s="16" t="inlineStr">
        <is>
          <t>LS-2079</t>
        </is>
      </c>
      <c r="B44" s="12" t="n">
        <v>46188</v>
      </c>
      <c r="C44" s="16" t="inlineStr">
        <is>
          <t>66984</t>
        </is>
      </c>
      <c r="D44" s="15" t="inlineStr">
        <is>
          <t>Workers' Comp</t>
        </is>
      </c>
      <c r="E44" s="15" t="inlineStr">
        <is>
          <t>Dr. Bhatt</t>
        </is>
      </c>
      <c r="F44" s="18" t="n">
        <v>24</v>
      </c>
      <c r="G44" s="17" t="n">
        <v>165</v>
      </c>
    </row>
    <row r="45">
      <c r="A45" s="16" t="inlineStr">
        <is>
          <t>LS-2080</t>
        </is>
      </c>
      <c r="B45" s="12" t="n">
        <v>46189</v>
      </c>
      <c r="C45" s="16" t="inlineStr">
        <is>
          <t>27447</t>
        </is>
      </c>
      <c r="D45" s="15" t="inlineStr">
        <is>
          <t>Medicare</t>
        </is>
      </c>
      <c r="E45" s="15" t="inlineStr">
        <is>
          <t>Dr. Halvorsen</t>
        </is>
      </c>
      <c r="F45" s="18" t="n">
        <v>129</v>
      </c>
      <c r="G45" s="17" t="n">
        <v>5450</v>
      </c>
    </row>
    <row r="47">
      <c r="A47" s="20" t="inlineStr">
        <is>
          <t>Total — 40 cases</t>
        </is>
      </c>
      <c r="F47" s="21">
        <f>SUM(F6:F45)</f>
        <v/>
      </c>
      <c r="G47" s="22">
        <f>SUM(G6:G45)</f>
        <v/>
      </c>
    </row>
    <row r="49">
      <c r="A49" s="11" t="inlineStr">
        <is>
          <t>Implant cost is the vendor invoice for THAT case. Zero means the procedure used none.</t>
        </is>
      </c>
    </row>
    <row r="51">
      <c r="A51" s="5" t="n"/>
      <c r="B51" s="5" t="n"/>
      <c r="C51" s="5" t="n"/>
      <c r="D51" s="5" t="n"/>
      <c r="E51" s="5" t="n"/>
      <c r="F51" s="5" t="n"/>
      <c r="G51" s="5" t="n"/>
    </row>
    <row r="52">
      <c r="A52" s="6" t="inlineStr">
        <is>
          <t>Spreadsheet Studio template v1.0  ·  built for this client, formulas live</t>
        </is>
      </c>
    </row>
  </sheetData>
  <dataValidations count="2">
    <dataValidation sqref="C6:C45" showDropDown="0" showInputMessage="0" showErrorMessage="0" allowBlank="1" type="list">
      <formula1>"29881,29827,27447,64483,66984,47562"</formula1>
    </dataValidation>
    <dataValidation sqref="D6:D45" showDropDown="0" showInputMessage="0" showErrorMessage="0" allowBlank="1" type="list">
      <formula1>"Medicare,Blue Cross PPO,UnitedHealthcare,Workers' Comp"</formula1>
    </dataValidation>
  </dataValidations>
  <pageMargins left="0.75" right="0.75" top="1" bottom="1" header="0.5" footer="0.5"/>
  <pageSetup orientation="landscape" fitToWidth="1"/>
</worksheet>
</file>

<file path=xl/worksheets/sheet4.xml><?xml version="1.0" encoding="utf-8"?>
<worksheet xmlns="http://schemas.openxmlformats.org/spreadsheetml/2006/main">
  <sheetPr>
    <tabColor rgb="001F6F4A"/>
    <outlinePr summaryBelow="1" summaryRight="1"/>
    <pageSetUpPr fitToPage="1"/>
  </sheetPr>
  <dimension ref="A2:R52"/>
  <sheetViews>
    <sheetView showGridLines="0" zoomScale="110" workbookViewId="0">
      <pane xSplit="2" ySplit="5" topLeftCell="C6" activePane="bottomRight" state="frozen"/>
      <selection pane="topRight"/>
      <selection pane="bottomLeft"/>
      <selection pane="bottomRight" activeCell="A1" sqref="A1"/>
    </sheetView>
  </sheetViews>
  <sheetFormatPr baseColWidth="8" defaultRowHeight="15"/>
  <cols>
    <col width="10" customWidth="1" min="1" max="1"/>
    <col width="11" customWidth="1" min="2" max="2"/>
    <col width="8" customWidth="1" min="3" max="3"/>
    <col width="18" customWidth="1" min="4" max="4"/>
    <col width="30" customWidth="1" min="5" max="5"/>
    <col width="12" customWidth="1" min="6" max="6"/>
    <col width="11" customWidth="1" min="7" max="7"/>
    <col width="11" customWidth="1" min="8" max="8"/>
    <col width="9" customWidth="1" min="9" max="9"/>
    <col width="11" customWidth="1" min="10" max="10"/>
    <col width="13" customWidth="1" min="11" max="11"/>
    <col width="9" customWidth="1" min="12" max="12"/>
    <col width="8" customWidth="1" min="13" max="13"/>
    <col width="9" customWidth="1" min="14" max="14"/>
    <col width="9" customWidth="1" min="15" max="15"/>
    <col width="12" customWidth="1" min="16" max="16"/>
    <col width="13" customWidth="1" min="17" max="17"/>
    <col width="8" customWidth="1" min="18" max="18"/>
  </cols>
  <sheetData>
    <row r="2">
      <c r="A2" s="1">
        <f>Client_Name&amp;" — every case costed on its own"</f>
        <v/>
      </c>
    </row>
    <row r="3">
      <c r="A3" s="2" t="inlineStr">
        <is>
          <t>The contracted fee for THIS payer, the implant THIS case used, the minutes THIS case took. Nothing on this sheet is typed.</t>
        </is>
      </c>
    </row>
    <row r="5">
      <c r="A5" s="14" t="inlineStr">
        <is>
          <t>Case ID</t>
        </is>
      </c>
      <c r="B5" s="14" t="inlineStr">
        <is>
          <t>Date</t>
        </is>
      </c>
      <c r="C5" s="14" t="inlineStr">
        <is>
          <t>CPT</t>
        </is>
      </c>
      <c r="D5" s="14" t="inlineStr">
        <is>
          <t>Payer</t>
        </is>
      </c>
      <c r="E5" s="14" t="inlineStr">
        <is>
          <t>Procedure</t>
        </is>
      </c>
      <c r="F5" s="14" t="inlineStr">
        <is>
          <t>Facility fee</t>
        </is>
      </c>
      <c r="G5" s="14" t="inlineStr">
        <is>
          <t>Supplies</t>
        </is>
      </c>
      <c r="H5" s="14" t="inlineStr">
        <is>
          <t>Implant</t>
        </is>
      </c>
      <c r="I5" s="14" t="inlineStr">
        <is>
          <t>OR min</t>
        </is>
      </c>
      <c r="J5" s="14" t="inlineStr">
        <is>
          <t>OR cost</t>
        </is>
      </c>
      <c r="K5" s="14" t="inlineStr">
        <is>
          <t>Contribution</t>
        </is>
      </c>
      <c r="L5" s="14" t="inlineStr">
        <is>
          <t>Margin</t>
        </is>
      </c>
      <c r="M5" s="14" t="inlineStr">
        <is>
          <t>Flag</t>
        </is>
      </c>
      <c r="N5" s="14" t="inlineStr">
        <is>
          <t>Month key</t>
        </is>
      </c>
      <c r="O5" s="14" t="inlineStr">
        <is>
          <t>Implant?</t>
        </is>
      </c>
      <c r="P5" s="14" t="inlineStr">
        <is>
          <t>Avg implant</t>
        </is>
      </c>
      <c r="Q5" s="14" t="inlineStr">
        <is>
          <t>Contrib. averaged</t>
        </is>
      </c>
      <c r="R5" s="14" t="inlineStr">
        <is>
          <t>Flag avg</t>
        </is>
      </c>
    </row>
    <row r="6">
      <c r="A6" s="23">
        <f>Cases!A6</f>
        <v/>
      </c>
      <c r="B6" s="24">
        <f>Cases!B6</f>
        <v/>
      </c>
      <c r="C6" s="23">
        <f>Cases!C6</f>
        <v/>
      </c>
      <c r="D6" s="25">
        <f>Cases!D6</f>
        <v/>
      </c>
      <c r="E6" s="25">
        <f>IFERROR(INDEX(Proc_Name,MATCH(C6,Proc_CPT,0)),"MISSING")</f>
        <v/>
      </c>
      <c r="F6" s="26">
        <f>IFERROR(INDEX(Rate_Fee,MATCH(C6&amp;"|"&amp;D6,Rate_Key,0)),0)</f>
        <v/>
      </c>
      <c r="G6" s="26">
        <f>IFERROR(INDEX(Proc_Supplies,MATCH(C6,Proc_CPT,0)),0)</f>
        <v/>
      </c>
      <c r="H6" s="26">
        <f>Cases!G6</f>
        <v/>
      </c>
      <c r="I6" s="27">
        <f>Cases!F6</f>
        <v/>
      </c>
      <c r="J6" s="26">
        <f>I6*OR_Rate</f>
        <v/>
      </c>
      <c r="K6" s="28">
        <f>F6-G6-H6-J6</f>
        <v/>
      </c>
      <c r="L6" s="29">
        <f>IF(F6=0,0,K6/F6)</f>
        <v/>
      </c>
      <c r="M6" s="23">
        <f>IF(K6&lt;0,"LOSS","ok")</f>
        <v/>
      </c>
      <c r="N6" s="30">
        <f>YEAR(B6)*12+MONTH(B6)</f>
        <v/>
      </c>
      <c r="O6" s="23">
        <f>IFERROR(INDEX(Proc_Implant,MATCH(C6,Proc_CPT,0)),"MISSING")</f>
        <v/>
      </c>
      <c r="P6" s="26">
        <f>IFERROR(INDEX(Averages!$E$18:$E$23,MATCH(C6,Averages!$B$18:$B$23,0)),0)</f>
        <v/>
      </c>
      <c r="Q6" s="26">
        <f>F6-G6-P6-J6</f>
        <v/>
      </c>
      <c r="R6" s="23">
        <f>IF(Q6&lt;0,"LOSS","ok")</f>
        <v/>
      </c>
    </row>
    <row r="7">
      <c r="A7" s="23">
        <f>Cases!A7</f>
        <v/>
      </c>
      <c r="B7" s="24">
        <f>Cases!B7</f>
        <v/>
      </c>
      <c r="C7" s="23">
        <f>Cases!C7</f>
        <v/>
      </c>
      <c r="D7" s="25">
        <f>Cases!D7</f>
        <v/>
      </c>
      <c r="E7" s="25">
        <f>IFERROR(INDEX(Proc_Name,MATCH(C7,Proc_CPT,0)),"MISSING")</f>
        <v/>
      </c>
      <c r="F7" s="26">
        <f>IFERROR(INDEX(Rate_Fee,MATCH(C7&amp;"|"&amp;D7,Rate_Key,0)),0)</f>
        <v/>
      </c>
      <c r="G7" s="26">
        <f>IFERROR(INDEX(Proc_Supplies,MATCH(C7,Proc_CPT,0)),0)</f>
        <v/>
      </c>
      <c r="H7" s="26">
        <f>Cases!G7</f>
        <v/>
      </c>
      <c r="I7" s="27">
        <f>Cases!F7</f>
        <v/>
      </c>
      <c r="J7" s="26">
        <f>I7*OR_Rate</f>
        <v/>
      </c>
      <c r="K7" s="28">
        <f>F7-G7-H7-J7</f>
        <v/>
      </c>
      <c r="L7" s="29">
        <f>IF(F7=0,0,K7/F7)</f>
        <v/>
      </c>
      <c r="M7" s="23">
        <f>IF(K7&lt;0,"LOSS","ok")</f>
        <v/>
      </c>
      <c r="N7" s="30">
        <f>YEAR(B7)*12+MONTH(B7)</f>
        <v/>
      </c>
      <c r="O7" s="23">
        <f>IFERROR(INDEX(Proc_Implant,MATCH(C7,Proc_CPT,0)),"MISSING")</f>
        <v/>
      </c>
      <c r="P7" s="26">
        <f>IFERROR(INDEX(Averages!$E$18:$E$23,MATCH(C7,Averages!$B$18:$B$23,0)),0)</f>
        <v/>
      </c>
      <c r="Q7" s="26">
        <f>F7-G7-P7-J7</f>
        <v/>
      </c>
      <c r="R7" s="23">
        <f>IF(Q7&lt;0,"LOSS","ok")</f>
        <v/>
      </c>
    </row>
    <row r="8">
      <c r="A8" s="23">
        <f>Cases!A8</f>
        <v/>
      </c>
      <c r="B8" s="24">
        <f>Cases!B8</f>
        <v/>
      </c>
      <c r="C8" s="23">
        <f>Cases!C8</f>
        <v/>
      </c>
      <c r="D8" s="25">
        <f>Cases!D8</f>
        <v/>
      </c>
      <c r="E8" s="25">
        <f>IFERROR(INDEX(Proc_Name,MATCH(C8,Proc_CPT,0)),"MISSING")</f>
        <v/>
      </c>
      <c r="F8" s="26">
        <f>IFERROR(INDEX(Rate_Fee,MATCH(C8&amp;"|"&amp;D8,Rate_Key,0)),0)</f>
        <v/>
      </c>
      <c r="G8" s="26">
        <f>IFERROR(INDEX(Proc_Supplies,MATCH(C8,Proc_CPT,0)),0)</f>
        <v/>
      </c>
      <c r="H8" s="26">
        <f>Cases!G8</f>
        <v/>
      </c>
      <c r="I8" s="27">
        <f>Cases!F8</f>
        <v/>
      </c>
      <c r="J8" s="26">
        <f>I8*OR_Rate</f>
        <v/>
      </c>
      <c r="K8" s="28">
        <f>F8-G8-H8-J8</f>
        <v/>
      </c>
      <c r="L8" s="29">
        <f>IF(F8=0,0,K8/F8)</f>
        <v/>
      </c>
      <c r="M8" s="23">
        <f>IF(K8&lt;0,"LOSS","ok")</f>
        <v/>
      </c>
      <c r="N8" s="30">
        <f>YEAR(B8)*12+MONTH(B8)</f>
        <v/>
      </c>
      <c r="O8" s="23">
        <f>IFERROR(INDEX(Proc_Implant,MATCH(C8,Proc_CPT,0)),"MISSING")</f>
        <v/>
      </c>
      <c r="P8" s="26">
        <f>IFERROR(INDEX(Averages!$E$18:$E$23,MATCH(C8,Averages!$B$18:$B$23,0)),0)</f>
        <v/>
      </c>
      <c r="Q8" s="26">
        <f>F8-G8-P8-J8</f>
        <v/>
      </c>
      <c r="R8" s="23">
        <f>IF(Q8&lt;0,"LOSS","ok")</f>
        <v/>
      </c>
    </row>
    <row r="9">
      <c r="A9" s="23">
        <f>Cases!A9</f>
        <v/>
      </c>
      <c r="B9" s="24">
        <f>Cases!B9</f>
        <v/>
      </c>
      <c r="C9" s="23">
        <f>Cases!C9</f>
        <v/>
      </c>
      <c r="D9" s="25">
        <f>Cases!D9</f>
        <v/>
      </c>
      <c r="E9" s="25">
        <f>IFERROR(INDEX(Proc_Name,MATCH(C9,Proc_CPT,0)),"MISSING")</f>
        <v/>
      </c>
      <c r="F9" s="26">
        <f>IFERROR(INDEX(Rate_Fee,MATCH(C9&amp;"|"&amp;D9,Rate_Key,0)),0)</f>
        <v/>
      </c>
      <c r="G9" s="26">
        <f>IFERROR(INDEX(Proc_Supplies,MATCH(C9,Proc_CPT,0)),0)</f>
        <v/>
      </c>
      <c r="H9" s="26">
        <f>Cases!G9</f>
        <v/>
      </c>
      <c r="I9" s="27">
        <f>Cases!F9</f>
        <v/>
      </c>
      <c r="J9" s="26">
        <f>I9*OR_Rate</f>
        <v/>
      </c>
      <c r="K9" s="28">
        <f>F9-G9-H9-J9</f>
        <v/>
      </c>
      <c r="L9" s="29">
        <f>IF(F9=0,0,K9/F9)</f>
        <v/>
      </c>
      <c r="M9" s="23">
        <f>IF(K9&lt;0,"LOSS","ok")</f>
        <v/>
      </c>
      <c r="N9" s="30">
        <f>YEAR(B9)*12+MONTH(B9)</f>
        <v/>
      </c>
      <c r="O9" s="23">
        <f>IFERROR(INDEX(Proc_Implant,MATCH(C9,Proc_CPT,0)),"MISSING")</f>
        <v/>
      </c>
      <c r="P9" s="26">
        <f>IFERROR(INDEX(Averages!$E$18:$E$23,MATCH(C9,Averages!$B$18:$B$23,0)),0)</f>
        <v/>
      </c>
      <c r="Q9" s="26">
        <f>F9-G9-P9-J9</f>
        <v/>
      </c>
      <c r="R9" s="23">
        <f>IF(Q9&lt;0,"LOSS","ok")</f>
        <v/>
      </c>
    </row>
    <row r="10">
      <c r="A10" s="23">
        <f>Cases!A10</f>
        <v/>
      </c>
      <c r="B10" s="24">
        <f>Cases!B10</f>
        <v/>
      </c>
      <c r="C10" s="23">
        <f>Cases!C10</f>
        <v/>
      </c>
      <c r="D10" s="25">
        <f>Cases!D10</f>
        <v/>
      </c>
      <c r="E10" s="25">
        <f>IFERROR(INDEX(Proc_Name,MATCH(C10,Proc_CPT,0)),"MISSING")</f>
        <v/>
      </c>
      <c r="F10" s="26">
        <f>IFERROR(INDEX(Rate_Fee,MATCH(C10&amp;"|"&amp;D10,Rate_Key,0)),0)</f>
        <v/>
      </c>
      <c r="G10" s="26">
        <f>IFERROR(INDEX(Proc_Supplies,MATCH(C10,Proc_CPT,0)),0)</f>
        <v/>
      </c>
      <c r="H10" s="26">
        <f>Cases!G10</f>
        <v/>
      </c>
      <c r="I10" s="27">
        <f>Cases!F10</f>
        <v/>
      </c>
      <c r="J10" s="26">
        <f>I10*OR_Rate</f>
        <v/>
      </c>
      <c r="K10" s="28">
        <f>F10-G10-H10-J10</f>
        <v/>
      </c>
      <c r="L10" s="29">
        <f>IF(F10=0,0,K10/F10)</f>
        <v/>
      </c>
      <c r="M10" s="23">
        <f>IF(K10&lt;0,"LOSS","ok")</f>
        <v/>
      </c>
      <c r="N10" s="30">
        <f>YEAR(B10)*12+MONTH(B10)</f>
        <v/>
      </c>
      <c r="O10" s="23">
        <f>IFERROR(INDEX(Proc_Implant,MATCH(C10,Proc_CPT,0)),"MISSING")</f>
        <v/>
      </c>
      <c r="P10" s="26">
        <f>IFERROR(INDEX(Averages!$E$18:$E$23,MATCH(C10,Averages!$B$18:$B$23,0)),0)</f>
        <v/>
      </c>
      <c r="Q10" s="26">
        <f>F10-G10-P10-J10</f>
        <v/>
      </c>
      <c r="R10" s="23">
        <f>IF(Q10&lt;0,"LOSS","ok")</f>
        <v/>
      </c>
    </row>
    <row r="11">
      <c r="A11" s="23">
        <f>Cases!A11</f>
        <v/>
      </c>
      <c r="B11" s="24">
        <f>Cases!B11</f>
        <v/>
      </c>
      <c r="C11" s="23">
        <f>Cases!C11</f>
        <v/>
      </c>
      <c r="D11" s="25">
        <f>Cases!D11</f>
        <v/>
      </c>
      <c r="E11" s="25">
        <f>IFERROR(INDEX(Proc_Name,MATCH(C11,Proc_CPT,0)),"MISSING")</f>
        <v/>
      </c>
      <c r="F11" s="26">
        <f>IFERROR(INDEX(Rate_Fee,MATCH(C11&amp;"|"&amp;D11,Rate_Key,0)),0)</f>
        <v/>
      </c>
      <c r="G11" s="26">
        <f>IFERROR(INDEX(Proc_Supplies,MATCH(C11,Proc_CPT,0)),0)</f>
        <v/>
      </c>
      <c r="H11" s="26">
        <f>Cases!G11</f>
        <v/>
      </c>
      <c r="I11" s="27">
        <f>Cases!F11</f>
        <v/>
      </c>
      <c r="J11" s="26">
        <f>I11*OR_Rate</f>
        <v/>
      </c>
      <c r="K11" s="28">
        <f>F11-G11-H11-J11</f>
        <v/>
      </c>
      <c r="L11" s="29">
        <f>IF(F11=0,0,K11/F11)</f>
        <v/>
      </c>
      <c r="M11" s="23">
        <f>IF(K11&lt;0,"LOSS","ok")</f>
        <v/>
      </c>
      <c r="N11" s="30">
        <f>YEAR(B11)*12+MONTH(B11)</f>
        <v/>
      </c>
      <c r="O11" s="23">
        <f>IFERROR(INDEX(Proc_Implant,MATCH(C11,Proc_CPT,0)),"MISSING")</f>
        <v/>
      </c>
      <c r="P11" s="26">
        <f>IFERROR(INDEX(Averages!$E$18:$E$23,MATCH(C11,Averages!$B$18:$B$23,0)),0)</f>
        <v/>
      </c>
      <c r="Q11" s="26">
        <f>F11-G11-P11-J11</f>
        <v/>
      </c>
      <c r="R11" s="23">
        <f>IF(Q11&lt;0,"LOSS","ok")</f>
        <v/>
      </c>
    </row>
    <row r="12">
      <c r="A12" s="23">
        <f>Cases!A12</f>
        <v/>
      </c>
      <c r="B12" s="24">
        <f>Cases!B12</f>
        <v/>
      </c>
      <c r="C12" s="23">
        <f>Cases!C12</f>
        <v/>
      </c>
      <c r="D12" s="25">
        <f>Cases!D12</f>
        <v/>
      </c>
      <c r="E12" s="25">
        <f>IFERROR(INDEX(Proc_Name,MATCH(C12,Proc_CPT,0)),"MISSING")</f>
        <v/>
      </c>
      <c r="F12" s="26">
        <f>IFERROR(INDEX(Rate_Fee,MATCH(C12&amp;"|"&amp;D12,Rate_Key,0)),0)</f>
        <v/>
      </c>
      <c r="G12" s="26">
        <f>IFERROR(INDEX(Proc_Supplies,MATCH(C12,Proc_CPT,0)),0)</f>
        <v/>
      </c>
      <c r="H12" s="26">
        <f>Cases!G12</f>
        <v/>
      </c>
      <c r="I12" s="27">
        <f>Cases!F12</f>
        <v/>
      </c>
      <c r="J12" s="26">
        <f>I12*OR_Rate</f>
        <v/>
      </c>
      <c r="K12" s="28">
        <f>F12-G12-H12-J12</f>
        <v/>
      </c>
      <c r="L12" s="29">
        <f>IF(F12=0,0,K12/F12)</f>
        <v/>
      </c>
      <c r="M12" s="23">
        <f>IF(K12&lt;0,"LOSS","ok")</f>
        <v/>
      </c>
      <c r="N12" s="30">
        <f>YEAR(B12)*12+MONTH(B12)</f>
        <v/>
      </c>
      <c r="O12" s="23">
        <f>IFERROR(INDEX(Proc_Implant,MATCH(C12,Proc_CPT,0)),"MISSING")</f>
        <v/>
      </c>
      <c r="P12" s="26">
        <f>IFERROR(INDEX(Averages!$E$18:$E$23,MATCH(C12,Averages!$B$18:$B$23,0)),0)</f>
        <v/>
      </c>
      <c r="Q12" s="26">
        <f>F12-G12-P12-J12</f>
        <v/>
      </c>
      <c r="R12" s="23">
        <f>IF(Q12&lt;0,"LOSS","ok")</f>
        <v/>
      </c>
    </row>
    <row r="13">
      <c r="A13" s="23">
        <f>Cases!A13</f>
        <v/>
      </c>
      <c r="B13" s="24">
        <f>Cases!B13</f>
        <v/>
      </c>
      <c r="C13" s="23">
        <f>Cases!C13</f>
        <v/>
      </c>
      <c r="D13" s="25">
        <f>Cases!D13</f>
        <v/>
      </c>
      <c r="E13" s="25">
        <f>IFERROR(INDEX(Proc_Name,MATCH(C13,Proc_CPT,0)),"MISSING")</f>
        <v/>
      </c>
      <c r="F13" s="26">
        <f>IFERROR(INDEX(Rate_Fee,MATCH(C13&amp;"|"&amp;D13,Rate_Key,0)),0)</f>
        <v/>
      </c>
      <c r="G13" s="26">
        <f>IFERROR(INDEX(Proc_Supplies,MATCH(C13,Proc_CPT,0)),0)</f>
        <v/>
      </c>
      <c r="H13" s="26">
        <f>Cases!G13</f>
        <v/>
      </c>
      <c r="I13" s="27">
        <f>Cases!F13</f>
        <v/>
      </c>
      <c r="J13" s="26">
        <f>I13*OR_Rate</f>
        <v/>
      </c>
      <c r="K13" s="28">
        <f>F13-G13-H13-J13</f>
        <v/>
      </c>
      <c r="L13" s="29">
        <f>IF(F13=0,0,K13/F13)</f>
        <v/>
      </c>
      <c r="M13" s="23">
        <f>IF(K13&lt;0,"LOSS","ok")</f>
        <v/>
      </c>
      <c r="N13" s="30">
        <f>YEAR(B13)*12+MONTH(B13)</f>
        <v/>
      </c>
      <c r="O13" s="23">
        <f>IFERROR(INDEX(Proc_Implant,MATCH(C13,Proc_CPT,0)),"MISSING")</f>
        <v/>
      </c>
      <c r="P13" s="26">
        <f>IFERROR(INDEX(Averages!$E$18:$E$23,MATCH(C13,Averages!$B$18:$B$23,0)),0)</f>
        <v/>
      </c>
      <c r="Q13" s="26">
        <f>F13-G13-P13-J13</f>
        <v/>
      </c>
      <c r="R13" s="23">
        <f>IF(Q13&lt;0,"LOSS","ok")</f>
        <v/>
      </c>
    </row>
    <row r="14">
      <c r="A14" s="23">
        <f>Cases!A14</f>
        <v/>
      </c>
      <c r="B14" s="24">
        <f>Cases!B14</f>
        <v/>
      </c>
      <c r="C14" s="23">
        <f>Cases!C14</f>
        <v/>
      </c>
      <c r="D14" s="25">
        <f>Cases!D14</f>
        <v/>
      </c>
      <c r="E14" s="25">
        <f>IFERROR(INDEX(Proc_Name,MATCH(C14,Proc_CPT,0)),"MISSING")</f>
        <v/>
      </c>
      <c r="F14" s="26">
        <f>IFERROR(INDEX(Rate_Fee,MATCH(C14&amp;"|"&amp;D14,Rate_Key,0)),0)</f>
        <v/>
      </c>
      <c r="G14" s="26">
        <f>IFERROR(INDEX(Proc_Supplies,MATCH(C14,Proc_CPT,0)),0)</f>
        <v/>
      </c>
      <c r="H14" s="26">
        <f>Cases!G14</f>
        <v/>
      </c>
      <c r="I14" s="27">
        <f>Cases!F14</f>
        <v/>
      </c>
      <c r="J14" s="26">
        <f>I14*OR_Rate</f>
        <v/>
      </c>
      <c r="K14" s="28">
        <f>F14-G14-H14-J14</f>
        <v/>
      </c>
      <c r="L14" s="29">
        <f>IF(F14=0,0,K14/F14)</f>
        <v/>
      </c>
      <c r="M14" s="23">
        <f>IF(K14&lt;0,"LOSS","ok")</f>
        <v/>
      </c>
      <c r="N14" s="30">
        <f>YEAR(B14)*12+MONTH(B14)</f>
        <v/>
      </c>
      <c r="O14" s="23">
        <f>IFERROR(INDEX(Proc_Implant,MATCH(C14,Proc_CPT,0)),"MISSING")</f>
        <v/>
      </c>
      <c r="P14" s="26">
        <f>IFERROR(INDEX(Averages!$E$18:$E$23,MATCH(C14,Averages!$B$18:$B$23,0)),0)</f>
        <v/>
      </c>
      <c r="Q14" s="26">
        <f>F14-G14-P14-J14</f>
        <v/>
      </c>
      <c r="R14" s="23">
        <f>IF(Q14&lt;0,"LOSS","ok")</f>
        <v/>
      </c>
    </row>
    <row r="15">
      <c r="A15" s="23">
        <f>Cases!A15</f>
        <v/>
      </c>
      <c r="B15" s="24">
        <f>Cases!B15</f>
        <v/>
      </c>
      <c r="C15" s="23">
        <f>Cases!C15</f>
        <v/>
      </c>
      <c r="D15" s="25">
        <f>Cases!D15</f>
        <v/>
      </c>
      <c r="E15" s="25">
        <f>IFERROR(INDEX(Proc_Name,MATCH(C15,Proc_CPT,0)),"MISSING")</f>
        <v/>
      </c>
      <c r="F15" s="26">
        <f>IFERROR(INDEX(Rate_Fee,MATCH(C15&amp;"|"&amp;D15,Rate_Key,0)),0)</f>
        <v/>
      </c>
      <c r="G15" s="26">
        <f>IFERROR(INDEX(Proc_Supplies,MATCH(C15,Proc_CPT,0)),0)</f>
        <v/>
      </c>
      <c r="H15" s="26">
        <f>Cases!G15</f>
        <v/>
      </c>
      <c r="I15" s="27">
        <f>Cases!F15</f>
        <v/>
      </c>
      <c r="J15" s="26">
        <f>I15*OR_Rate</f>
        <v/>
      </c>
      <c r="K15" s="28">
        <f>F15-G15-H15-J15</f>
        <v/>
      </c>
      <c r="L15" s="29">
        <f>IF(F15=0,0,K15/F15)</f>
        <v/>
      </c>
      <c r="M15" s="23">
        <f>IF(K15&lt;0,"LOSS","ok")</f>
        <v/>
      </c>
      <c r="N15" s="30">
        <f>YEAR(B15)*12+MONTH(B15)</f>
        <v/>
      </c>
      <c r="O15" s="23">
        <f>IFERROR(INDEX(Proc_Implant,MATCH(C15,Proc_CPT,0)),"MISSING")</f>
        <v/>
      </c>
      <c r="P15" s="26">
        <f>IFERROR(INDEX(Averages!$E$18:$E$23,MATCH(C15,Averages!$B$18:$B$23,0)),0)</f>
        <v/>
      </c>
      <c r="Q15" s="26">
        <f>F15-G15-P15-J15</f>
        <v/>
      </c>
      <c r="R15" s="23">
        <f>IF(Q15&lt;0,"LOSS","ok")</f>
        <v/>
      </c>
    </row>
    <row r="16">
      <c r="A16" s="23">
        <f>Cases!A16</f>
        <v/>
      </c>
      <c r="B16" s="24">
        <f>Cases!B16</f>
        <v/>
      </c>
      <c r="C16" s="23">
        <f>Cases!C16</f>
        <v/>
      </c>
      <c r="D16" s="25">
        <f>Cases!D16</f>
        <v/>
      </c>
      <c r="E16" s="25">
        <f>IFERROR(INDEX(Proc_Name,MATCH(C16,Proc_CPT,0)),"MISSING")</f>
        <v/>
      </c>
      <c r="F16" s="26">
        <f>IFERROR(INDEX(Rate_Fee,MATCH(C16&amp;"|"&amp;D16,Rate_Key,0)),0)</f>
        <v/>
      </c>
      <c r="G16" s="26">
        <f>IFERROR(INDEX(Proc_Supplies,MATCH(C16,Proc_CPT,0)),0)</f>
        <v/>
      </c>
      <c r="H16" s="26">
        <f>Cases!G16</f>
        <v/>
      </c>
      <c r="I16" s="27">
        <f>Cases!F16</f>
        <v/>
      </c>
      <c r="J16" s="26">
        <f>I16*OR_Rate</f>
        <v/>
      </c>
      <c r="K16" s="28">
        <f>F16-G16-H16-J16</f>
        <v/>
      </c>
      <c r="L16" s="29">
        <f>IF(F16=0,0,K16/F16)</f>
        <v/>
      </c>
      <c r="M16" s="23">
        <f>IF(K16&lt;0,"LOSS","ok")</f>
        <v/>
      </c>
      <c r="N16" s="30">
        <f>YEAR(B16)*12+MONTH(B16)</f>
        <v/>
      </c>
      <c r="O16" s="23">
        <f>IFERROR(INDEX(Proc_Implant,MATCH(C16,Proc_CPT,0)),"MISSING")</f>
        <v/>
      </c>
      <c r="P16" s="26">
        <f>IFERROR(INDEX(Averages!$E$18:$E$23,MATCH(C16,Averages!$B$18:$B$23,0)),0)</f>
        <v/>
      </c>
      <c r="Q16" s="26">
        <f>F16-G16-P16-J16</f>
        <v/>
      </c>
      <c r="R16" s="23">
        <f>IF(Q16&lt;0,"LOSS","ok")</f>
        <v/>
      </c>
    </row>
    <row r="17">
      <c r="A17" s="23">
        <f>Cases!A17</f>
        <v/>
      </c>
      <c r="B17" s="24">
        <f>Cases!B17</f>
        <v/>
      </c>
      <c r="C17" s="23">
        <f>Cases!C17</f>
        <v/>
      </c>
      <c r="D17" s="25">
        <f>Cases!D17</f>
        <v/>
      </c>
      <c r="E17" s="25">
        <f>IFERROR(INDEX(Proc_Name,MATCH(C17,Proc_CPT,0)),"MISSING")</f>
        <v/>
      </c>
      <c r="F17" s="26">
        <f>IFERROR(INDEX(Rate_Fee,MATCH(C17&amp;"|"&amp;D17,Rate_Key,0)),0)</f>
        <v/>
      </c>
      <c r="G17" s="26">
        <f>IFERROR(INDEX(Proc_Supplies,MATCH(C17,Proc_CPT,0)),0)</f>
        <v/>
      </c>
      <c r="H17" s="26">
        <f>Cases!G17</f>
        <v/>
      </c>
      <c r="I17" s="27">
        <f>Cases!F17</f>
        <v/>
      </c>
      <c r="J17" s="26">
        <f>I17*OR_Rate</f>
        <v/>
      </c>
      <c r="K17" s="28">
        <f>F17-G17-H17-J17</f>
        <v/>
      </c>
      <c r="L17" s="29">
        <f>IF(F17=0,0,K17/F17)</f>
        <v/>
      </c>
      <c r="M17" s="23">
        <f>IF(K17&lt;0,"LOSS","ok")</f>
        <v/>
      </c>
      <c r="N17" s="30">
        <f>YEAR(B17)*12+MONTH(B17)</f>
        <v/>
      </c>
      <c r="O17" s="23">
        <f>IFERROR(INDEX(Proc_Implant,MATCH(C17,Proc_CPT,0)),"MISSING")</f>
        <v/>
      </c>
      <c r="P17" s="26">
        <f>IFERROR(INDEX(Averages!$E$18:$E$23,MATCH(C17,Averages!$B$18:$B$23,0)),0)</f>
        <v/>
      </c>
      <c r="Q17" s="26">
        <f>F17-G17-P17-J17</f>
        <v/>
      </c>
      <c r="R17" s="23">
        <f>IF(Q17&lt;0,"LOSS","ok")</f>
        <v/>
      </c>
    </row>
    <row r="18">
      <c r="A18" s="23">
        <f>Cases!A18</f>
        <v/>
      </c>
      <c r="B18" s="24">
        <f>Cases!B18</f>
        <v/>
      </c>
      <c r="C18" s="23">
        <f>Cases!C18</f>
        <v/>
      </c>
      <c r="D18" s="25">
        <f>Cases!D18</f>
        <v/>
      </c>
      <c r="E18" s="25">
        <f>IFERROR(INDEX(Proc_Name,MATCH(C18,Proc_CPT,0)),"MISSING")</f>
        <v/>
      </c>
      <c r="F18" s="26">
        <f>IFERROR(INDEX(Rate_Fee,MATCH(C18&amp;"|"&amp;D18,Rate_Key,0)),0)</f>
        <v/>
      </c>
      <c r="G18" s="26">
        <f>IFERROR(INDEX(Proc_Supplies,MATCH(C18,Proc_CPT,0)),0)</f>
        <v/>
      </c>
      <c r="H18" s="26">
        <f>Cases!G18</f>
        <v/>
      </c>
      <c r="I18" s="27">
        <f>Cases!F18</f>
        <v/>
      </c>
      <c r="J18" s="26">
        <f>I18*OR_Rate</f>
        <v/>
      </c>
      <c r="K18" s="28">
        <f>F18-G18-H18-J18</f>
        <v/>
      </c>
      <c r="L18" s="29">
        <f>IF(F18=0,0,K18/F18)</f>
        <v/>
      </c>
      <c r="M18" s="23">
        <f>IF(K18&lt;0,"LOSS","ok")</f>
        <v/>
      </c>
      <c r="N18" s="30">
        <f>YEAR(B18)*12+MONTH(B18)</f>
        <v/>
      </c>
      <c r="O18" s="23">
        <f>IFERROR(INDEX(Proc_Implant,MATCH(C18,Proc_CPT,0)),"MISSING")</f>
        <v/>
      </c>
      <c r="P18" s="26">
        <f>IFERROR(INDEX(Averages!$E$18:$E$23,MATCH(C18,Averages!$B$18:$B$23,0)),0)</f>
        <v/>
      </c>
      <c r="Q18" s="26">
        <f>F18-G18-P18-J18</f>
        <v/>
      </c>
      <c r="R18" s="23">
        <f>IF(Q18&lt;0,"LOSS","ok")</f>
        <v/>
      </c>
    </row>
    <row r="19">
      <c r="A19" s="23">
        <f>Cases!A19</f>
        <v/>
      </c>
      <c r="B19" s="24">
        <f>Cases!B19</f>
        <v/>
      </c>
      <c r="C19" s="23">
        <f>Cases!C19</f>
        <v/>
      </c>
      <c r="D19" s="25">
        <f>Cases!D19</f>
        <v/>
      </c>
      <c r="E19" s="25">
        <f>IFERROR(INDEX(Proc_Name,MATCH(C19,Proc_CPT,0)),"MISSING")</f>
        <v/>
      </c>
      <c r="F19" s="26">
        <f>IFERROR(INDEX(Rate_Fee,MATCH(C19&amp;"|"&amp;D19,Rate_Key,0)),0)</f>
        <v/>
      </c>
      <c r="G19" s="26">
        <f>IFERROR(INDEX(Proc_Supplies,MATCH(C19,Proc_CPT,0)),0)</f>
        <v/>
      </c>
      <c r="H19" s="26">
        <f>Cases!G19</f>
        <v/>
      </c>
      <c r="I19" s="27">
        <f>Cases!F19</f>
        <v/>
      </c>
      <c r="J19" s="26">
        <f>I19*OR_Rate</f>
        <v/>
      </c>
      <c r="K19" s="28">
        <f>F19-G19-H19-J19</f>
        <v/>
      </c>
      <c r="L19" s="29">
        <f>IF(F19=0,0,K19/F19)</f>
        <v/>
      </c>
      <c r="M19" s="23">
        <f>IF(K19&lt;0,"LOSS","ok")</f>
        <v/>
      </c>
      <c r="N19" s="30">
        <f>YEAR(B19)*12+MONTH(B19)</f>
        <v/>
      </c>
      <c r="O19" s="23">
        <f>IFERROR(INDEX(Proc_Implant,MATCH(C19,Proc_CPT,0)),"MISSING")</f>
        <v/>
      </c>
      <c r="P19" s="26">
        <f>IFERROR(INDEX(Averages!$E$18:$E$23,MATCH(C19,Averages!$B$18:$B$23,0)),0)</f>
        <v/>
      </c>
      <c r="Q19" s="26">
        <f>F19-G19-P19-J19</f>
        <v/>
      </c>
      <c r="R19" s="23">
        <f>IF(Q19&lt;0,"LOSS","ok")</f>
        <v/>
      </c>
    </row>
    <row r="20">
      <c r="A20" s="23">
        <f>Cases!A20</f>
        <v/>
      </c>
      <c r="B20" s="24">
        <f>Cases!B20</f>
        <v/>
      </c>
      <c r="C20" s="23">
        <f>Cases!C20</f>
        <v/>
      </c>
      <c r="D20" s="25">
        <f>Cases!D20</f>
        <v/>
      </c>
      <c r="E20" s="25">
        <f>IFERROR(INDEX(Proc_Name,MATCH(C20,Proc_CPT,0)),"MISSING")</f>
        <v/>
      </c>
      <c r="F20" s="26">
        <f>IFERROR(INDEX(Rate_Fee,MATCH(C20&amp;"|"&amp;D20,Rate_Key,0)),0)</f>
        <v/>
      </c>
      <c r="G20" s="26">
        <f>IFERROR(INDEX(Proc_Supplies,MATCH(C20,Proc_CPT,0)),0)</f>
        <v/>
      </c>
      <c r="H20" s="26">
        <f>Cases!G20</f>
        <v/>
      </c>
      <c r="I20" s="27">
        <f>Cases!F20</f>
        <v/>
      </c>
      <c r="J20" s="26">
        <f>I20*OR_Rate</f>
        <v/>
      </c>
      <c r="K20" s="28">
        <f>F20-G20-H20-J20</f>
        <v/>
      </c>
      <c r="L20" s="29">
        <f>IF(F20=0,0,K20/F20)</f>
        <v/>
      </c>
      <c r="M20" s="23">
        <f>IF(K20&lt;0,"LOSS","ok")</f>
        <v/>
      </c>
      <c r="N20" s="30">
        <f>YEAR(B20)*12+MONTH(B20)</f>
        <v/>
      </c>
      <c r="O20" s="23">
        <f>IFERROR(INDEX(Proc_Implant,MATCH(C20,Proc_CPT,0)),"MISSING")</f>
        <v/>
      </c>
      <c r="P20" s="26">
        <f>IFERROR(INDEX(Averages!$E$18:$E$23,MATCH(C20,Averages!$B$18:$B$23,0)),0)</f>
        <v/>
      </c>
      <c r="Q20" s="26">
        <f>F20-G20-P20-J20</f>
        <v/>
      </c>
      <c r="R20" s="23">
        <f>IF(Q20&lt;0,"LOSS","ok")</f>
        <v/>
      </c>
    </row>
    <row r="21">
      <c r="A21" s="23">
        <f>Cases!A21</f>
        <v/>
      </c>
      <c r="B21" s="24">
        <f>Cases!B21</f>
        <v/>
      </c>
      <c r="C21" s="23">
        <f>Cases!C21</f>
        <v/>
      </c>
      <c r="D21" s="25">
        <f>Cases!D21</f>
        <v/>
      </c>
      <c r="E21" s="25">
        <f>IFERROR(INDEX(Proc_Name,MATCH(C21,Proc_CPT,0)),"MISSING")</f>
        <v/>
      </c>
      <c r="F21" s="26">
        <f>IFERROR(INDEX(Rate_Fee,MATCH(C21&amp;"|"&amp;D21,Rate_Key,0)),0)</f>
        <v/>
      </c>
      <c r="G21" s="26">
        <f>IFERROR(INDEX(Proc_Supplies,MATCH(C21,Proc_CPT,0)),0)</f>
        <v/>
      </c>
      <c r="H21" s="26">
        <f>Cases!G21</f>
        <v/>
      </c>
      <c r="I21" s="27">
        <f>Cases!F21</f>
        <v/>
      </c>
      <c r="J21" s="26">
        <f>I21*OR_Rate</f>
        <v/>
      </c>
      <c r="K21" s="28">
        <f>F21-G21-H21-J21</f>
        <v/>
      </c>
      <c r="L21" s="29">
        <f>IF(F21=0,0,K21/F21)</f>
        <v/>
      </c>
      <c r="M21" s="23">
        <f>IF(K21&lt;0,"LOSS","ok")</f>
        <v/>
      </c>
      <c r="N21" s="30">
        <f>YEAR(B21)*12+MONTH(B21)</f>
        <v/>
      </c>
      <c r="O21" s="23">
        <f>IFERROR(INDEX(Proc_Implant,MATCH(C21,Proc_CPT,0)),"MISSING")</f>
        <v/>
      </c>
      <c r="P21" s="26">
        <f>IFERROR(INDEX(Averages!$E$18:$E$23,MATCH(C21,Averages!$B$18:$B$23,0)),0)</f>
        <v/>
      </c>
      <c r="Q21" s="26">
        <f>F21-G21-P21-J21</f>
        <v/>
      </c>
      <c r="R21" s="23">
        <f>IF(Q21&lt;0,"LOSS","ok")</f>
        <v/>
      </c>
    </row>
    <row r="22">
      <c r="A22" s="23">
        <f>Cases!A22</f>
        <v/>
      </c>
      <c r="B22" s="24">
        <f>Cases!B22</f>
        <v/>
      </c>
      <c r="C22" s="23">
        <f>Cases!C22</f>
        <v/>
      </c>
      <c r="D22" s="25">
        <f>Cases!D22</f>
        <v/>
      </c>
      <c r="E22" s="25">
        <f>IFERROR(INDEX(Proc_Name,MATCH(C22,Proc_CPT,0)),"MISSING")</f>
        <v/>
      </c>
      <c r="F22" s="26">
        <f>IFERROR(INDEX(Rate_Fee,MATCH(C22&amp;"|"&amp;D22,Rate_Key,0)),0)</f>
        <v/>
      </c>
      <c r="G22" s="26">
        <f>IFERROR(INDEX(Proc_Supplies,MATCH(C22,Proc_CPT,0)),0)</f>
        <v/>
      </c>
      <c r="H22" s="26">
        <f>Cases!G22</f>
        <v/>
      </c>
      <c r="I22" s="27">
        <f>Cases!F22</f>
        <v/>
      </c>
      <c r="J22" s="26">
        <f>I22*OR_Rate</f>
        <v/>
      </c>
      <c r="K22" s="28">
        <f>F22-G22-H22-J22</f>
        <v/>
      </c>
      <c r="L22" s="29">
        <f>IF(F22=0,0,K22/F22)</f>
        <v/>
      </c>
      <c r="M22" s="23">
        <f>IF(K22&lt;0,"LOSS","ok")</f>
        <v/>
      </c>
      <c r="N22" s="30">
        <f>YEAR(B22)*12+MONTH(B22)</f>
        <v/>
      </c>
      <c r="O22" s="23">
        <f>IFERROR(INDEX(Proc_Implant,MATCH(C22,Proc_CPT,0)),"MISSING")</f>
        <v/>
      </c>
      <c r="P22" s="26">
        <f>IFERROR(INDEX(Averages!$E$18:$E$23,MATCH(C22,Averages!$B$18:$B$23,0)),0)</f>
        <v/>
      </c>
      <c r="Q22" s="26">
        <f>F22-G22-P22-J22</f>
        <v/>
      </c>
      <c r="R22" s="23">
        <f>IF(Q22&lt;0,"LOSS","ok")</f>
        <v/>
      </c>
    </row>
    <row r="23">
      <c r="A23" s="23">
        <f>Cases!A23</f>
        <v/>
      </c>
      <c r="B23" s="24">
        <f>Cases!B23</f>
        <v/>
      </c>
      <c r="C23" s="23">
        <f>Cases!C23</f>
        <v/>
      </c>
      <c r="D23" s="25">
        <f>Cases!D23</f>
        <v/>
      </c>
      <c r="E23" s="25">
        <f>IFERROR(INDEX(Proc_Name,MATCH(C23,Proc_CPT,0)),"MISSING")</f>
        <v/>
      </c>
      <c r="F23" s="26">
        <f>IFERROR(INDEX(Rate_Fee,MATCH(C23&amp;"|"&amp;D23,Rate_Key,0)),0)</f>
        <v/>
      </c>
      <c r="G23" s="26">
        <f>IFERROR(INDEX(Proc_Supplies,MATCH(C23,Proc_CPT,0)),0)</f>
        <v/>
      </c>
      <c r="H23" s="26">
        <f>Cases!G23</f>
        <v/>
      </c>
      <c r="I23" s="27">
        <f>Cases!F23</f>
        <v/>
      </c>
      <c r="J23" s="26">
        <f>I23*OR_Rate</f>
        <v/>
      </c>
      <c r="K23" s="28">
        <f>F23-G23-H23-J23</f>
        <v/>
      </c>
      <c r="L23" s="29">
        <f>IF(F23=0,0,K23/F23)</f>
        <v/>
      </c>
      <c r="M23" s="23">
        <f>IF(K23&lt;0,"LOSS","ok")</f>
        <v/>
      </c>
      <c r="N23" s="30">
        <f>YEAR(B23)*12+MONTH(B23)</f>
        <v/>
      </c>
      <c r="O23" s="23">
        <f>IFERROR(INDEX(Proc_Implant,MATCH(C23,Proc_CPT,0)),"MISSING")</f>
        <v/>
      </c>
      <c r="P23" s="26">
        <f>IFERROR(INDEX(Averages!$E$18:$E$23,MATCH(C23,Averages!$B$18:$B$23,0)),0)</f>
        <v/>
      </c>
      <c r="Q23" s="26">
        <f>F23-G23-P23-J23</f>
        <v/>
      </c>
      <c r="R23" s="23">
        <f>IF(Q23&lt;0,"LOSS","ok")</f>
        <v/>
      </c>
    </row>
    <row r="24">
      <c r="A24" s="23">
        <f>Cases!A24</f>
        <v/>
      </c>
      <c r="B24" s="24">
        <f>Cases!B24</f>
        <v/>
      </c>
      <c r="C24" s="23">
        <f>Cases!C24</f>
        <v/>
      </c>
      <c r="D24" s="25">
        <f>Cases!D24</f>
        <v/>
      </c>
      <c r="E24" s="25">
        <f>IFERROR(INDEX(Proc_Name,MATCH(C24,Proc_CPT,0)),"MISSING")</f>
        <v/>
      </c>
      <c r="F24" s="26">
        <f>IFERROR(INDEX(Rate_Fee,MATCH(C24&amp;"|"&amp;D24,Rate_Key,0)),0)</f>
        <v/>
      </c>
      <c r="G24" s="26">
        <f>IFERROR(INDEX(Proc_Supplies,MATCH(C24,Proc_CPT,0)),0)</f>
        <v/>
      </c>
      <c r="H24" s="26">
        <f>Cases!G24</f>
        <v/>
      </c>
      <c r="I24" s="27">
        <f>Cases!F24</f>
        <v/>
      </c>
      <c r="J24" s="26">
        <f>I24*OR_Rate</f>
        <v/>
      </c>
      <c r="K24" s="28">
        <f>F24-G24-H24-J24</f>
        <v/>
      </c>
      <c r="L24" s="29">
        <f>IF(F24=0,0,K24/F24)</f>
        <v/>
      </c>
      <c r="M24" s="23">
        <f>IF(K24&lt;0,"LOSS","ok")</f>
        <v/>
      </c>
      <c r="N24" s="30">
        <f>YEAR(B24)*12+MONTH(B24)</f>
        <v/>
      </c>
      <c r="O24" s="23">
        <f>IFERROR(INDEX(Proc_Implant,MATCH(C24,Proc_CPT,0)),"MISSING")</f>
        <v/>
      </c>
      <c r="P24" s="26">
        <f>IFERROR(INDEX(Averages!$E$18:$E$23,MATCH(C24,Averages!$B$18:$B$23,0)),0)</f>
        <v/>
      </c>
      <c r="Q24" s="26">
        <f>F24-G24-P24-J24</f>
        <v/>
      </c>
      <c r="R24" s="23">
        <f>IF(Q24&lt;0,"LOSS","ok")</f>
        <v/>
      </c>
    </row>
    <row r="25">
      <c r="A25" s="23">
        <f>Cases!A25</f>
        <v/>
      </c>
      <c r="B25" s="24">
        <f>Cases!B25</f>
        <v/>
      </c>
      <c r="C25" s="23">
        <f>Cases!C25</f>
        <v/>
      </c>
      <c r="D25" s="25">
        <f>Cases!D25</f>
        <v/>
      </c>
      <c r="E25" s="25">
        <f>IFERROR(INDEX(Proc_Name,MATCH(C25,Proc_CPT,0)),"MISSING")</f>
        <v/>
      </c>
      <c r="F25" s="26">
        <f>IFERROR(INDEX(Rate_Fee,MATCH(C25&amp;"|"&amp;D25,Rate_Key,0)),0)</f>
        <v/>
      </c>
      <c r="G25" s="26">
        <f>IFERROR(INDEX(Proc_Supplies,MATCH(C25,Proc_CPT,0)),0)</f>
        <v/>
      </c>
      <c r="H25" s="26">
        <f>Cases!G25</f>
        <v/>
      </c>
      <c r="I25" s="27">
        <f>Cases!F25</f>
        <v/>
      </c>
      <c r="J25" s="26">
        <f>I25*OR_Rate</f>
        <v/>
      </c>
      <c r="K25" s="28">
        <f>F25-G25-H25-J25</f>
        <v/>
      </c>
      <c r="L25" s="29">
        <f>IF(F25=0,0,K25/F25)</f>
        <v/>
      </c>
      <c r="M25" s="23">
        <f>IF(K25&lt;0,"LOSS","ok")</f>
        <v/>
      </c>
      <c r="N25" s="30">
        <f>YEAR(B25)*12+MONTH(B25)</f>
        <v/>
      </c>
      <c r="O25" s="23">
        <f>IFERROR(INDEX(Proc_Implant,MATCH(C25,Proc_CPT,0)),"MISSING")</f>
        <v/>
      </c>
      <c r="P25" s="26">
        <f>IFERROR(INDEX(Averages!$E$18:$E$23,MATCH(C25,Averages!$B$18:$B$23,0)),0)</f>
        <v/>
      </c>
      <c r="Q25" s="26">
        <f>F25-G25-P25-J25</f>
        <v/>
      </c>
      <c r="R25" s="23">
        <f>IF(Q25&lt;0,"LOSS","ok")</f>
        <v/>
      </c>
    </row>
    <row r="26">
      <c r="A26" s="23">
        <f>Cases!A26</f>
        <v/>
      </c>
      <c r="B26" s="24">
        <f>Cases!B26</f>
        <v/>
      </c>
      <c r="C26" s="23">
        <f>Cases!C26</f>
        <v/>
      </c>
      <c r="D26" s="25">
        <f>Cases!D26</f>
        <v/>
      </c>
      <c r="E26" s="25">
        <f>IFERROR(INDEX(Proc_Name,MATCH(C26,Proc_CPT,0)),"MISSING")</f>
        <v/>
      </c>
      <c r="F26" s="26">
        <f>IFERROR(INDEX(Rate_Fee,MATCH(C26&amp;"|"&amp;D26,Rate_Key,0)),0)</f>
        <v/>
      </c>
      <c r="G26" s="26">
        <f>IFERROR(INDEX(Proc_Supplies,MATCH(C26,Proc_CPT,0)),0)</f>
        <v/>
      </c>
      <c r="H26" s="26">
        <f>Cases!G26</f>
        <v/>
      </c>
      <c r="I26" s="27">
        <f>Cases!F26</f>
        <v/>
      </c>
      <c r="J26" s="26">
        <f>I26*OR_Rate</f>
        <v/>
      </c>
      <c r="K26" s="28">
        <f>F26-G26-H26-J26</f>
        <v/>
      </c>
      <c r="L26" s="29">
        <f>IF(F26=0,0,K26/F26)</f>
        <v/>
      </c>
      <c r="M26" s="23">
        <f>IF(K26&lt;0,"LOSS","ok")</f>
        <v/>
      </c>
      <c r="N26" s="30">
        <f>YEAR(B26)*12+MONTH(B26)</f>
        <v/>
      </c>
      <c r="O26" s="23">
        <f>IFERROR(INDEX(Proc_Implant,MATCH(C26,Proc_CPT,0)),"MISSING")</f>
        <v/>
      </c>
      <c r="P26" s="26">
        <f>IFERROR(INDEX(Averages!$E$18:$E$23,MATCH(C26,Averages!$B$18:$B$23,0)),0)</f>
        <v/>
      </c>
      <c r="Q26" s="26">
        <f>F26-G26-P26-J26</f>
        <v/>
      </c>
      <c r="R26" s="23">
        <f>IF(Q26&lt;0,"LOSS","ok")</f>
        <v/>
      </c>
    </row>
    <row r="27">
      <c r="A27" s="23">
        <f>Cases!A27</f>
        <v/>
      </c>
      <c r="B27" s="24">
        <f>Cases!B27</f>
        <v/>
      </c>
      <c r="C27" s="23">
        <f>Cases!C27</f>
        <v/>
      </c>
      <c r="D27" s="25">
        <f>Cases!D27</f>
        <v/>
      </c>
      <c r="E27" s="25">
        <f>IFERROR(INDEX(Proc_Name,MATCH(C27,Proc_CPT,0)),"MISSING")</f>
        <v/>
      </c>
      <c r="F27" s="26">
        <f>IFERROR(INDEX(Rate_Fee,MATCH(C27&amp;"|"&amp;D27,Rate_Key,0)),0)</f>
        <v/>
      </c>
      <c r="G27" s="26">
        <f>IFERROR(INDEX(Proc_Supplies,MATCH(C27,Proc_CPT,0)),0)</f>
        <v/>
      </c>
      <c r="H27" s="26">
        <f>Cases!G27</f>
        <v/>
      </c>
      <c r="I27" s="27">
        <f>Cases!F27</f>
        <v/>
      </c>
      <c r="J27" s="26">
        <f>I27*OR_Rate</f>
        <v/>
      </c>
      <c r="K27" s="28">
        <f>F27-G27-H27-J27</f>
        <v/>
      </c>
      <c r="L27" s="29">
        <f>IF(F27=0,0,K27/F27)</f>
        <v/>
      </c>
      <c r="M27" s="23">
        <f>IF(K27&lt;0,"LOSS","ok")</f>
        <v/>
      </c>
      <c r="N27" s="30">
        <f>YEAR(B27)*12+MONTH(B27)</f>
        <v/>
      </c>
      <c r="O27" s="23">
        <f>IFERROR(INDEX(Proc_Implant,MATCH(C27,Proc_CPT,0)),"MISSING")</f>
        <v/>
      </c>
      <c r="P27" s="26">
        <f>IFERROR(INDEX(Averages!$E$18:$E$23,MATCH(C27,Averages!$B$18:$B$23,0)),0)</f>
        <v/>
      </c>
      <c r="Q27" s="26">
        <f>F27-G27-P27-J27</f>
        <v/>
      </c>
      <c r="R27" s="23">
        <f>IF(Q27&lt;0,"LOSS","ok")</f>
        <v/>
      </c>
    </row>
    <row r="28">
      <c r="A28" s="23">
        <f>Cases!A28</f>
        <v/>
      </c>
      <c r="B28" s="24">
        <f>Cases!B28</f>
        <v/>
      </c>
      <c r="C28" s="23">
        <f>Cases!C28</f>
        <v/>
      </c>
      <c r="D28" s="25">
        <f>Cases!D28</f>
        <v/>
      </c>
      <c r="E28" s="25">
        <f>IFERROR(INDEX(Proc_Name,MATCH(C28,Proc_CPT,0)),"MISSING")</f>
        <v/>
      </c>
      <c r="F28" s="26">
        <f>IFERROR(INDEX(Rate_Fee,MATCH(C28&amp;"|"&amp;D28,Rate_Key,0)),0)</f>
        <v/>
      </c>
      <c r="G28" s="26">
        <f>IFERROR(INDEX(Proc_Supplies,MATCH(C28,Proc_CPT,0)),0)</f>
        <v/>
      </c>
      <c r="H28" s="26">
        <f>Cases!G28</f>
        <v/>
      </c>
      <c r="I28" s="27">
        <f>Cases!F28</f>
        <v/>
      </c>
      <c r="J28" s="26">
        <f>I28*OR_Rate</f>
        <v/>
      </c>
      <c r="K28" s="28">
        <f>F28-G28-H28-J28</f>
        <v/>
      </c>
      <c r="L28" s="29">
        <f>IF(F28=0,0,K28/F28)</f>
        <v/>
      </c>
      <c r="M28" s="23">
        <f>IF(K28&lt;0,"LOSS","ok")</f>
        <v/>
      </c>
      <c r="N28" s="30">
        <f>YEAR(B28)*12+MONTH(B28)</f>
        <v/>
      </c>
      <c r="O28" s="23">
        <f>IFERROR(INDEX(Proc_Implant,MATCH(C28,Proc_CPT,0)),"MISSING")</f>
        <v/>
      </c>
      <c r="P28" s="26">
        <f>IFERROR(INDEX(Averages!$E$18:$E$23,MATCH(C28,Averages!$B$18:$B$23,0)),0)</f>
        <v/>
      </c>
      <c r="Q28" s="26">
        <f>F28-G28-P28-J28</f>
        <v/>
      </c>
      <c r="R28" s="23">
        <f>IF(Q28&lt;0,"LOSS","ok")</f>
        <v/>
      </c>
    </row>
    <row r="29">
      <c r="A29" s="23">
        <f>Cases!A29</f>
        <v/>
      </c>
      <c r="B29" s="24">
        <f>Cases!B29</f>
        <v/>
      </c>
      <c r="C29" s="23">
        <f>Cases!C29</f>
        <v/>
      </c>
      <c r="D29" s="25">
        <f>Cases!D29</f>
        <v/>
      </c>
      <c r="E29" s="25">
        <f>IFERROR(INDEX(Proc_Name,MATCH(C29,Proc_CPT,0)),"MISSING")</f>
        <v/>
      </c>
      <c r="F29" s="26">
        <f>IFERROR(INDEX(Rate_Fee,MATCH(C29&amp;"|"&amp;D29,Rate_Key,0)),0)</f>
        <v/>
      </c>
      <c r="G29" s="26">
        <f>IFERROR(INDEX(Proc_Supplies,MATCH(C29,Proc_CPT,0)),0)</f>
        <v/>
      </c>
      <c r="H29" s="26">
        <f>Cases!G29</f>
        <v/>
      </c>
      <c r="I29" s="27">
        <f>Cases!F29</f>
        <v/>
      </c>
      <c r="J29" s="26">
        <f>I29*OR_Rate</f>
        <v/>
      </c>
      <c r="K29" s="28">
        <f>F29-G29-H29-J29</f>
        <v/>
      </c>
      <c r="L29" s="29">
        <f>IF(F29=0,0,K29/F29)</f>
        <v/>
      </c>
      <c r="M29" s="23">
        <f>IF(K29&lt;0,"LOSS","ok")</f>
        <v/>
      </c>
      <c r="N29" s="30">
        <f>YEAR(B29)*12+MONTH(B29)</f>
        <v/>
      </c>
      <c r="O29" s="23">
        <f>IFERROR(INDEX(Proc_Implant,MATCH(C29,Proc_CPT,0)),"MISSING")</f>
        <v/>
      </c>
      <c r="P29" s="26">
        <f>IFERROR(INDEX(Averages!$E$18:$E$23,MATCH(C29,Averages!$B$18:$B$23,0)),0)</f>
        <v/>
      </c>
      <c r="Q29" s="26">
        <f>F29-G29-P29-J29</f>
        <v/>
      </c>
      <c r="R29" s="23">
        <f>IF(Q29&lt;0,"LOSS","ok")</f>
        <v/>
      </c>
    </row>
    <row r="30">
      <c r="A30" s="23">
        <f>Cases!A30</f>
        <v/>
      </c>
      <c r="B30" s="24">
        <f>Cases!B30</f>
        <v/>
      </c>
      <c r="C30" s="23">
        <f>Cases!C30</f>
        <v/>
      </c>
      <c r="D30" s="25">
        <f>Cases!D30</f>
        <v/>
      </c>
      <c r="E30" s="25">
        <f>IFERROR(INDEX(Proc_Name,MATCH(C30,Proc_CPT,0)),"MISSING")</f>
        <v/>
      </c>
      <c r="F30" s="26">
        <f>IFERROR(INDEX(Rate_Fee,MATCH(C30&amp;"|"&amp;D30,Rate_Key,0)),0)</f>
        <v/>
      </c>
      <c r="G30" s="26">
        <f>IFERROR(INDEX(Proc_Supplies,MATCH(C30,Proc_CPT,0)),0)</f>
        <v/>
      </c>
      <c r="H30" s="26">
        <f>Cases!G30</f>
        <v/>
      </c>
      <c r="I30" s="27">
        <f>Cases!F30</f>
        <v/>
      </c>
      <c r="J30" s="26">
        <f>I30*OR_Rate</f>
        <v/>
      </c>
      <c r="K30" s="28">
        <f>F30-G30-H30-J30</f>
        <v/>
      </c>
      <c r="L30" s="29">
        <f>IF(F30=0,0,K30/F30)</f>
        <v/>
      </c>
      <c r="M30" s="23">
        <f>IF(K30&lt;0,"LOSS","ok")</f>
        <v/>
      </c>
      <c r="N30" s="30">
        <f>YEAR(B30)*12+MONTH(B30)</f>
        <v/>
      </c>
      <c r="O30" s="23">
        <f>IFERROR(INDEX(Proc_Implant,MATCH(C30,Proc_CPT,0)),"MISSING")</f>
        <v/>
      </c>
      <c r="P30" s="26">
        <f>IFERROR(INDEX(Averages!$E$18:$E$23,MATCH(C30,Averages!$B$18:$B$23,0)),0)</f>
        <v/>
      </c>
      <c r="Q30" s="26">
        <f>F30-G30-P30-J30</f>
        <v/>
      </c>
      <c r="R30" s="23">
        <f>IF(Q30&lt;0,"LOSS","ok")</f>
        <v/>
      </c>
    </row>
    <row r="31">
      <c r="A31" s="23">
        <f>Cases!A31</f>
        <v/>
      </c>
      <c r="B31" s="24">
        <f>Cases!B31</f>
        <v/>
      </c>
      <c r="C31" s="23">
        <f>Cases!C31</f>
        <v/>
      </c>
      <c r="D31" s="25">
        <f>Cases!D31</f>
        <v/>
      </c>
      <c r="E31" s="25">
        <f>IFERROR(INDEX(Proc_Name,MATCH(C31,Proc_CPT,0)),"MISSING")</f>
        <v/>
      </c>
      <c r="F31" s="26">
        <f>IFERROR(INDEX(Rate_Fee,MATCH(C31&amp;"|"&amp;D31,Rate_Key,0)),0)</f>
        <v/>
      </c>
      <c r="G31" s="26">
        <f>IFERROR(INDEX(Proc_Supplies,MATCH(C31,Proc_CPT,0)),0)</f>
        <v/>
      </c>
      <c r="H31" s="26">
        <f>Cases!G31</f>
        <v/>
      </c>
      <c r="I31" s="27">
        <f>Cases!F31</f>
        <v/>
      </c>
      <c r="J31" s="26">
        <f>I31*OR_Rate</f>
        <v/>
      </c>
      <c r="K31" s="28">
        <f>F31-G31-H31-J31</f>
        <v/>
      </c>
      <c r="L31" s="29">
        <f>IF(F31=0,0,K31/F31)</f>
        <v/>
      </c>
      <c r="M31" s="23">
        <f>IF(K31&lt;0,"LOSS","ok")</f>
        <v/>
      </c>
      <c r="N31" s="30">
        <f>YEAR(B31)*12+MONTH(B31)</f>
        <v/>
      </c>
      <c r="O31" s="23">
        <f>IFERROR(INDEX(Proc_Implant,MATCH(C31,Proc_CPT,0)),"MISSING")</f>
        <v/>
      </c>
      <c r="P31" s="26">
        <f>IFERROR(INDEX(Averages!$E$18:$E$23,MATCH(C31,Averages!$B$18:$B$23,0)),0)</f>
        <v/>
      </c>
      <c r="Q31" s="26">
        <f>F31-G31-P31-J31</f>
        <v/>
      </c>
      <c r="R31" s="23">
        <f>IF(Q31&lt;0,"LOSS","ok")</f>
        <v/>
      </c>
    </row>
    <row r="32">
      <c r="A32" s="23">
        <f>Cases!A32</f>
        <v/>
      </c>
      <c r="B32" s="24">
        <f>Cases!B32</f>
        <v/>
      </c>
      <c r="C32" s="23">
        <f>Cases!C32</f>
        <v/>
      </c>
      <c r="D32" s="25">
        <f>Cases!D32</f>
        <v/>
      </c>
      <c r="E32" s="25">
        <f>IFERROR(INDEX(Proc_Name,MATCH(C32,Proc_CPT,0)),"MISSING")</f>
        <v/>
      </c>
      <c r="F32" s="26">
        <f>IFERROR(INDEX(Rate_Fee,MATCH(C32&amp;"|"&amp;D32,Rate_Key,0)),0)</f>
        <v/>
      </c>
      <c r="G32" s="26">
        <f>IFERROR(INDEX(Proc_Supplies,MATCH(C32,Proc_CPT,0)),0)</f>
        <v/>
      </c>
      <c r="H32" s="26">
        <f>Cases!G32</f>
        <v/>
      </c>
      <c r="I32" s="27">
        <f>Cases!F32</f>
        <v/>
      </c>
      <c r="J32" s="26">
        <f>I32*OR_Rate</f>
        <v/>
      </c>
      <c r="K32" s="28">
        <f>F32-G32-H32-J32</f>
        <v/>
      </c>
      <c r="L32" s="29">
        <f>IF(F32=0,0,K32/F32)</f>
        <v/>
      </c>
      <c r="M32" s="23">
        <f>IF(K32&lt;0,"LOSS","ok")</f>
        <v/>
      </c>
      <c r="N32" s="30">
        <f>YEAR(B32)*12+MONTH(B32)</f>
        <v/>
      </c>
      <c r="O32" s="23">
        <f>IFERROR(INDEX(Proc_Implant,MATCH(C32,Proc_CPT,0)),"MISSING")</f>
        <v/>
      </c>
      <c r="P32" s="26">
        <f>IFERROR(INDEX(Averages!$E$18:$E$23,MATCH(C32,Averages!$B$18:$B$23,0)),0)</f>
        <v/>
      </c>
      <c r="Q32" s="26">
        <f>F32-G32-P32-J32</f>
        <v/>
      </c>
      <c r="R32" s="23">
        <f>IF(Q32&lt;0,"LOSS","ok")</f>
        <v/>
      </c>
    </row>
    <row r="33">
      <c r="A33" s="23">
        <f>Cases!A33</f>
        <v/>
      </c>
      <c r="B33" s="24">
        <f>Cases!B33</f>
        <v/>
      </c>
      <c r="C33" s="23">
        <f>Cases!C33</f>
        <v/>
      </c>
      <c r="D33" s="25">
        <f>Cases!D33</f>
        <v/>
      </c>
      <c r="E33" s="25">
        <f>IFERROR(INDEX(Proc_Name,MATCH(C33,Proc_CPT,0)),"MISSING")</f>
        <v/>
      </c>
      <c r="F33" s="26">
        <f>IFERROR(INDEX(Rate_Fee,MATCH(C33&amp;"|"&amp;D33,Rate_Key,0)),0)</f>
        <v/>
      </c>
      <c r="G33" s="26">
        <f>IFERROR(INDEX(Proc_Supplies,MATCH(C33,Proc_CPT,0)),0)</f>
        <v/>
      </c>
      <c r="H33" s="26">
        <f>Cases!G33</f>
        <v/>
      </c>
      <c r="I33" s="27">
        <f>Cases!F33</f>
        <v/>
      </c>
      <c r="J33" s="26">
        <f>I33*OR_Rate</f>
        <v/>
      </c>
      <c r="K33" s="28">
        <f>F33-G33-H33-J33</f>
        <v/>
      </c>
      <c r="L33" s="29">
        <f>IF(F33=0,0,K33/F33)</f>
        <v/>
      </c>
      <c r="M33" s="23">
        <f>IF(K33&lt;0,"LOSS","ok")</f>
        <v/>
      </c>
      <c r="N33" s="30">
        <f>YEAR(B33)*12+MONTH(B33)</f>
        <v/>
      </c>
      <c r="O33" s="23">
        <f>IFERROR(INDEX(Proc_Implant,MATCH(C33,Proc_CPT,0)),"MISSING")</f>
        <v/>
      </c>
      <c r="P33" s="26">
        <f>IFERROR(INDEX(Averages!$E$18:$E$23,MATCH(C33,Averages!$B$18:$B$23,0)),0)</f>
        <v/>
      </c>
      <c r="Q33" s="26">
        <f>F33-G33-P33-J33</f>
        <v/>
      </c>
      <c r="R33" s="23">
        <f>IF(Q33&lt;0,"LOSS","ok")</f>
        <v/>
      </c>
    </row>
    <row r="34">
      <c r="A34" s="23">
        <f>Cases!A34</f>
        <v/>
      </c>
      <c r="B34" s="24">
        <f>Cases!B34</f>
        <v/>
      </c>
      <c r="C34" s="23">
        <f>Cases!C34</f>
        <v/>
      </c>
      <c r="D34" s="25">
        <f>Cases!D34</f>
        <v/>
      </c>
      <c r="E34" s="25">
        <f>IFERROR(INDEX(Proc_Name,MATCH(C34,Proc_CPT,0)),"MISSING")</f>
        <v/>
      </c>
      <c r="F34" s="26">
        <f>IFERROR(INDEX(Rate_Fee,MATCH(C34&amp;"|"&amp;D34,Rate_Key,0)),0)</f>
        <v/>
      </c>
      <c r="G34" s="26">
        <f>IFERROR(INDEX(Proc_Supplies,MATCH(C34,Proc_CPT,0)),0)</f>
        <v/>
      </c>
      <c r="H34" s="26">
        <f>Cases!G34</f>
        <v/>
      </c>
      <c r="I34" s="27">
        <f>Cases!F34</f>
        <v/>
      </c>
      <c r="J34" s="26">
        <f>I34*OR_Rate</f>
        <v/>
      </c>
      <c r="K34" s="28">
        <f>F34-G34-H34-J34</f>
        <v/>
      </c>
      <c r="L34" s="29">
        <f>IF(F34=0,0,K34/F34)</f>
        <v/>
      </c>
      <c r="M34" s="23">
        <f>IF(K34&lt;0,"LOSS","ok")</f>
        <v/>
      </c>
      <c r="N34" s="30">
        <f>YEAR(B34)*12+MONTH(B34)</f>
        <v/>
      </c>
      <c r="O34" s="23">
        <f>IFERROR(INDEX(Proc_Implant,MATCH(C34,Proc_CPT,0)),"MISSING")</f>
        <v/>
      </c>
      <c r="P34" s="26">
        <f>IFERROR(INDEX(Averages!$E$18:$E$23,MATCH(C34,Averages!$B$18:$B$23,0)),0)</f>
        <v/>
      </c>
      <c r="Q34" s="26">
        <f>F34-G34-P34-J34</f>
        <v/>
      </c>
      <c r="R34" s="23">
        <f>IF(Q34&lt;0,"LOSS","ok")</f>
        <v/>
      </c>
    </row>
    <row r="35">
      <c r="A35" s="23">
        <f>Cases!A35</f>
        <v/>
      </c>
      <c r="B35" s="24">
        <f>Cases!B35</f>
        <v/>
      </c>
      <c r="C35" s="23">
        <f>Cases!C35</f>
        <v/>
      </c>
      <c r="D35" s="25">
        <f>Cases!D35</f>
        <v/>
      </c>
      <c r="E35" s="25">
        <f>IFERROR(INDEX(Proc_Name,MATCH(C35,Proc_CPT,0)),"MISSING")</f>
        <v/>
      </c>
      <c r="F35" s="26">
        <f>IFERROR(INDEX(Rate_Fee,MATCH(C35&amp;"|"&amp;D35,Rate_Key,0)),0)</f>
        <v/>
      </c>
      <c r="G35" s="26">
        <f>IFERROR(INDEX(Proc_Supplies,MATCH(C35,Proc_CPT,0)),0)</f>
        <v/>
      </c>
      <c r="H35" s="26">
        <f>Cases!G35</f>
        <v/>
      </c>
      <c r="I35" s="27">
        <f>Cases!F35</f>
        <v/>
      </c>
      <c r="J35" s="26">
        <f>I35*OR_Rate</f>
        <v/>
      </c>
      <c r="K35" s="28">
        <f>F35-G35-H35-J35</f>
        <v/>
      </c>
      <c r="L35" s="29">
        <f>IF(F35=0,0,K35/F35)</f>
        <v/>
      </c>
      <c r="M35" s="23">
        <f>IF(K35&lt;0,"LOSS","ok")</f>
        <v/>
      </c>
      <c r="N35" s="30">
        <f>YEAR(B35)*12+MONTH(B35)</f>
        <v/>
      </c>
      <c r="O35" s="23">
        <f>IFERROR(INDEX(Proc_Implant,MATCH(C35,Proc_CPT,0)),"MISSING")</f>
        <v/>
      </c>
      <c r="P35" s="26">
        <f>IFERROR(INDEX(Averages!$E$18:$E$23,MATCH(C35,Averages!$B$18:$B$23,0)),0)</f>
        <v/>
      </c>
      <c r="Q35" s="26">
        <f>F35-G35-P35-J35</f>
        <v/>
      </c>
      <c r="R35" s="23">
        <f>IF(Q35&lt;0,"LOSS","ok")</f>
        <v/>
      </c>
    </row>
    <row r="36">
      <c r="A36" s="23">
        <f>Cases!A36</f>
        <v/>
      </c>
      <c r="B36" s="24">
        <f>Cases!B36</f>
        <v/>
      </c>
      <c r="C36" s="23">
        <f>Cases!C36</f>
        <v/>
      </c>
      <c r="D36" s="25">
        <f>Cases!D36</f>
        <v/>
      </c>
      <c r="E36" s="25">
        <f>IFERROR(INDEX(Proc_Name,MATCH(C36,Proc_CPT,0)),"MISSING")</f>
        <v/>
      </c>
      <c r="F36" s="26">
        <f>IFERROR(INDEX(Rate_Fee,MATCH(C36&amp;"|"&amp;D36,Rate_Key,0)),0)</f>
        <v/>
      </c>
      <c r="G36" s="26">
        <f>IFERROR(INDEX(Proc_Supplies,MATCH(C36,Proc_CPT,0)),0)</f>
        <v/>
      </c>
      <c r="H36" s="26">
        <f>Cases!G36</f>
        <v/>
      </c>
      <c r="I36" s="27">
        <f>Cases!F36</f>
        <v/>
      </c>
      <c r="J36" s="26">
        <f>I36*OR_Rate</f>
        <v/>
      </c>
      <c r="K36" s="28">
        <f>F36-G36-H36-J36</f>
        <v/>
      </c>
      <c r="L36" s="29">
        <f>IF(F36=0,0,K36/F36)</f>
        <v/>
      </c>
      <c r="M36" s="23">
        <f>IF(K36&lt;0,"LOSS","ok")</f>
        <v/>
      </c>
      <c r="N36" s="30">
        <f>YEAR(B36)*12+MONTH(B36)</f>
        <v/>
      </c>
      <c r="O36" s="23">
        <f>IFERROR(INDEX(Proc_Implant,MATCH(C36,Proc_CPT,0)),"MISSING")</f>
        <v/>
      </c>
      <c r="P36" s="26">
        <f>IFERROR(INDEX(Averages!$E$18:$E$23,MATCH(C36,Averages!$B$18:$B$23,0)),0)</f>
        <v/>
      </c>
      <c r="Q36" s="26">
        <f>F36-G36-P36-J36</f>
        <v/>
      </c>
      <c r="R36" s="23">
        <f>IF(Q36&lt;0,"LOSS","ok")</f>
        <v/>
      </c>
    </row>
    <row r="37">
      <c r="A37" s="23">
        <f>Cases!A37</f>
        <v/>
      </c>
      <c r="B37" s="24">
        <f>Cases!B37</f>
        <v/>
      </c>
      <c r="C37" s="23">
        <f>Cases!C37</f>
        <v/>
      </c>
      <c r="D37" s="25">
        <f>Cases!D37</f>
        <v/>
      </c>
      <c r="E37" s="25">
        <f>IFERROR(INDEX(Proc_Name,MATCH(C37,Proc_CPT,0)),"MISSING")</f>
        <v/>
      </c>
      <c r="F37" s="26">
        <f>IFERROR(INDEX(Rate_Fee,MATCH(C37&amp;"|"&amp;D37,Rate_Key,0)),0)</f>
        <v/>
      </c>
      <c r="G37" s="26">
        <f>IFERROR(INDEX(Proc_Supplies,MATCH(C37,Proc_CPT,0)),0)</f>
        <v/>
      </c>
      <c r="H37" s="26">
        <f>Cases!G37</f>
        <v/>
      </c>
      <c r="I37" s="27">
        <f>Cases!F37</f>
        <v/>
      </c>
      <c r="J37" s="26">
        <f>I37*OR_Rate</f>
        <v/>
      </c>
      <c r="K37" s="28">
        <f>F37-G37-H37-J37</f>
        <v/>
      </c>
      <c r="L37" s="29">
        <f>IF(F37=0,0,K37/F37)</f>
        <v/>
      </c>
      <c r="M37" s="23">
        <f>IF(K37&lt;0,"LOSS","ok")</f>
        <v/>
      </c>
      <c r="N37" s="30">
        <f>YEAR(B37)*12+MONTH(B37)</f>
        <v/>
      </c>
      <c r="O37" s="23">
        <f>IFERROR(INDEX(Proc_Implant,MATCH(C37,Proc_CPT,0)),"MISSING")</f>
        <v/>
      </c>
      <c r="P37" s="26">
        <f>IFERROR(INDEX(Averages!$E$18:$E$23,MATCH(C37,Averages!$B$18:$B$23,0)),0)</f>
        <v/>
      </c>
      <c r="Q37" s="26">
        <f>F37-G37-P37-J37</f>
        <v/>
      </c>
      <c r="R37" s="23">
        <f>IF(Q37&lt;0,"LOSS","ok")</f>
        <v/>
      </c>
    </row>
    <row r="38">
      <c r="A38" s="23">
        <f>Cases!A38</f>
        <v/>
      </c>
      <c r="B38" s="24">
        <f>Cases!B38</f>
        <v/>
      </c>
      <c r="C38" s="23">
        <f>Cases!C38</f>
        <v/>
      </c>
      <c r="D38" s="25">
        <f>Cases!D38</f>
        <v/>
      </c>
      <c r="E38" s="25">
        <f>IFERROR(INDEX(Proc_Name,MATCH(C38,Proc_CPT,0)),"MISSING")</f>
        <v/>
      </c>
      <c r="F38" s="26">
        <f>IFERROR(INDEX(Rate_Fee,MATCH(C38&amp;"|"&amp;D38,Rate_Key,0)),0)</f>
        <v/>
      </c>
      <c r="G38" s="26">
        <f>IFERROR(INDEX(Proc_Supplies,MATCH(C38,Proc_CPT,0)),0)</f>
        <v/>
      </c>
      <c r="H38" s="26">
        <f>Cases!G38</f>
        <v/>
      </c>
      <c r="I38" s="27">
        <f>Cases!F38</f>
        <v/>
      </c>
      <c r="J38" s="26">
        <f>I38*OR_Rate</f>
        <v/>
      </c>
      <c r="K38" s="28">
        <f>F38-G38-H38-J38</f>
        <v/>
      </c>
      <c r="L38" s="29">
        <f>IF(F38=0,0,K38/F38)</f>
        <v/>
      </c>
      <c r="M38" s="23">
        <f>IF(K38&lt;0,"LOSS","ok")</f>
        <v/>
      </c>
      <c r="N38" s="30">
        <f>YEAR(B38)*12+MONTH(B38)</f>
        <v/>
      </c>
      <c r="O38" s="23">
        <f>IFERROR(INDEX(Proc_Implant,MATCH(C38,Proc_CPT,0)),"MISSING")</f>
        <v/>
      </c>
      <c r="P38" s="26">
        <f>IFERROR(INDEX(Averages!$E$18:$E$23,MATCH(C38,Averages!$B$18:$B$23,0)),0)</f>
        <v/>
      </c>
      <c r="Q38" s="26">
        <f>F38-G38-P38-J38</f>
        <v/>
      </c>
      <c r="R38" s="23">
        <f>IF(Q38&lt;0,"LOSS","ok")</f>
        <v/>
      </c>
    </row>
    <row r="39">
      <c r="A39" s="23">
        <f>Cases!A39</f>
        <v/>
      </c>
      <c r="B39" s="24">
        <f>Cases!B39</f>
        <v/>
      </c>
      <c r="C39" s="23">
        <f>Cases!C39</f>
        <v/>
      </c>
      <c r="D39" s="25">
        <f>Cases!D39</f>
        <v/>
      </c>
      <c r="E39" s="25">
        <f>IFERROR(INDEX(Proc_Name,MATCH(C39,Proc_CPT,0)),"MISSING")</f>
        <v/>
      </c>
      <c r="F39" s="26">
        <f>IFERROR(INDEX(Rate_Fee,MATCH(C39&amp;"|"&amp;D39,Rate_Key,0)),0)</f>
        <v/>
      </c>
      <c r="G39" s="26">
        <f>IFERROR(INDEX(Proc_Supplies,MATCH(C39,Proc_CPT,0)),0)</f>
        <v/>
      </c>
      <c r="H39" s="26">
        <f>Cases!G39</f>
        <v/>
      </c>
      <c r="I39" s="27">
        <f>Cases!F39</f>
        <v/>
      </c>
      <c r="J39" s="26">
        <f>I39*OR_Rate</f>
        <v/>
      </c>
      <c r="K39" s="28">
        <f>F39-G39-H39-J39</f>
        <v/>
      </c>
      <c r="L39" s="29">
        <f>IF(F39=0,0,K39/F39)</f>
        <v/>
      </c>
      <c r="M39" s="23">
        <f>IF(K39&lt;0,"LOSS","ok")</f>
        <v/>
      </c>
      <c r="N39" s="30">
        <f>YEAR(B39)*12+MONTH(B39)</f>
        <v/>
      </c>
      <c r="O39" s="23">
        <f>IFERROR(INDEX(Proc_Implant,MATCH(C39,Proc_CPT,0)),"MISSING")</f>
        <v/>
      </c>
      <c r="P39" s="26">
        <f>IFERROR(INDEX(Averages!$E$18:$E$23,MATCH(C39,Averages!$B$18:$B$23,0)),0)</f>
        <v/>
      </c>
      <c r="Q39" s="26">
        <f>F39-G39-P39-J39</f>
        <v/>
      </c>
      <c r="R39" s="23">
        <f>IF(Q39&lt;0,"LOSS","ok")</f>
        <v/>
      </c>
    </row>
    <row r="40">
      <c r="A40" s="23">
        <f>Cases!A40</f>
        <v/>
      </c>
      <c r="B40" s="24">
        <f>Cases!B40</f>
        <v/>
      </c>
      <c r="C40" s="23">
        <f>Cases!C40</f>
        <v/>
      </c>
      <c r="D40" s="25">
        <f>Cases!D40</f>
        <v/>
      </c>
      <c r="E40" s="25">
        <f>IFERROR(INDEX(Proc_Name,MATCH(C40,Proc_CPT,0)),"MISSING")</f>
        <v/>
      </c>
      <c r="F40" s="26">
        <f>IFERROR(INDEX(Rate_Fee,MATCH(C40&amp;"|"&amp;D40,Rate_Key,0)),0)</f>
        <v/>
      </c>
      <c r="G40" s="26">
        <f>IFERROR(INDEX(Proc_Supplies,MATCH(C40,Proc_CPT,0)),0)</f>
        <v/>
      </c>
      <c r="H40" s="26">
        <f>Cases!G40</f>
        <v/>
      </c>
      <c r="I40" s="27">
        <f>Cases!F40</f>
        <v/>
      </c>
      <c r="J40" s="26">
        <f>I40*OR_Rate</f>
        <v/>
      </c>
      <c r="K40" s="28">
        <f>F40-G40-H40-J40</f>
        <v/>
      </c>
      <c r="L40" s="29">
        <f>IF(F40=0,0,K40/F40)</f>
        <v/>
      </c>
      <c r="M40" s="23">
        <f>IF(K40&lt;0,"LOSS","ok")</f>
        <v/>
      </c>
      <c r="N40" s="30">
        <f>YEAR(B40)*12+MONTH(B40)</f>
        <v/>
      </c>
      <c r="O40" s="23">
        <f>IFERROR(INDEX(Proc_Implant,MATCH(C40,Proc_CPT,0)),"MISSING")</f>
        <v/>
      </c>
      <c r="P40" s="26">
        <f>IFERROR(INDEX(Averages!$E$18:$E$23,MATCH(C40,Averages!$B$18:$B$23,0)),0)</f>
        <v/>
      </c>
      <c r="Q40" s="26">
        <f>F40-G40-P40-J40</f>
        <v/>
      </c>
      <c r="R40" s="23">
        <f>IF(Q40&lt;0,"LOSS","ok")</f>
        <v/>
      </c>
    </row>
    <row r="41">
      <c r="A41" s="23">
        <f>Cases!A41</f>
        <v/>
      </c>
      <c r="B41" s="24">
        <f>Cases!B41</f>
        <v/>
      </c>
      <c r="C41" s="23">
        <f>Cases!C41</f>
        <v/>
      </c>
      <c r="D41" s="25">
        <f>Cases!D41</f>
        <v/>
      </c>
      <c r="E41" s="25">
        <f>IFERROR(INDEX(Proc_Name,MATCH(C41,Proc_CPT,0)),"MISSING")</f>
        <v/>
      </c>
      <c r="F41" s="26">
        <f>IFERROR(INDEX(Rate_Fee,MATCH(C41&amp;"|"&amp;D41,Rate_Key,0)),0)</f>
        <v/>
      </c>
      <c r="G41" s="26">
        <f>IFERROR(INDEX(Proc_Supplies,MATCH(C41,Proc_CPT,0)),0)</f>
        <v/>
      </c>
      <c r="H41" s="26">
        <f>Cases!G41</f>
        <v/>
      </c>
      <c r="I41" s="27">
        <f>Cases!F41</f>
        <v/>
      </c>
      <c r="J41" s="26">
        <f>I41*OR_Rate</f>
        <v/>
      </c>
      <c r="K41" s="28">
        <f>F41-G41-H41-J41</f>
        <v/>
      </c>
      <c r="L41" s="29">
        <f>IF(F41=0,0,K41/F41)</f>
        <v/>
      </c>
      <c r="M41" s="23">
        <f>IF(K41&lt;0,"LOSS","ok")</f>
        <v/>
      </c>
      <c r="N41" s="30">
        <f>YEAR(B41)*12+MONTH(B41)</f>
        <v/>
      </c>
      <c r="O41" s="23">
        <f>IFERROR(INDEX(Proc_Implant,MATCH(C41,Proc_CPT,0)),"MISSING")</f>
        <v/>
      </c>
      <c r="P41" s="26">
        <f>IFERROR(INDEX(Averages!$E$18:$E$23,MATCH(C41,Averages!$B$18:$B$23,0)),0)</f>
        <v/>
      </c>
      <c r="Q41" s="26">
        <f>F41-G41-P41-J41</f>
        <v/>
      </c>
      <c r="R41" s="23">
        <f>IF(Q41&lt;0,"LOSS","ok")</f>
        <v/>
      </c>
    </row>
    <row r="42">
      <c r="A42" s="23">
        <f>Cases!A42</f>
        <v/>
      </c>
      <c r="B42" s="24">
        <f>Cases!B42</f>
        <v/>
      </c>
      <c r="C42" s="23">
        <f>Cases!C42</f>
        <v/>
      </c>
      <c r="D42" s="25">
        <f>Cases!D42</f>
        <v/>
      </c>
      <c r="E42" s="25">
        <f>IFERROR(INDEX(Proc_Name,MATCH(C42,Proc_CPT,0)),"MISSING")</f>
        <v/>
      </c>
      <c r="F42" s="26">
        <f>IFERROR(INDEX(Rate_Fee,MATCH(C42&amp;"|"&amp;D42,Rate_Key,0)),0)</f>
        <v/>
      </c>
      <c r="G42" s="26">
        <f>IFERROR(INDEX(Proc_Supplies,MATCH(C42,Proc_CPT,0)),0)</f>
        <v/>
      </c>
      <c r="H42" s="26">
        <f>Cases!G42</f>
        <v/>
      </c>
      <c r="I42" s="27">
        <f>Cases!F42</f>
        <v/>
      </c>
      <c r="J42" s="26">
        <f>I42*OR_Rate</f>
        <v/>
      </c>
      <c r="K42" s="28">
        <f>F42-G42-H42-J42</f>
        <v/>
      </c>
      <c r="L42" s="29">
        <f>IF(F42=0,0,K42/F42)</f>
        <v/>
      </c>
      <c r="M42" s="23">
        <f>IF(K42&lt;0,"LOSS","ok")</f>
        <v/>
      </c>
      <c r="N42" s="30">
        <f>YEAR(B42)*12+MONTH(B42)</f>
        <v/>
      </c>
      <c r="O42" s="23">
        <f>IFERROR(INDEX(Proc_Implant,MATCH(C42,Proc_CPT,0)),"MISSING")</f>
        <v/>
      </c>
      <c r="P42" s="26">
        <f>IFERROR(INDEX(Averages!$E$18:$E$23,MATCH(C42,Averages!$B$18:$B$23,0)),0)</f>
        <v/>
      </c>
      <c r="Q42" s="26">
        <f>F42-G42-P42-J42</f>
        <v/>
      </c>
      <c r="R42" s="23">
        <f>IF(Q42&lt;0,"LOSS","ok")</f>
        <v/>
      </c>
    </row>
    <row r="43">
      <c r="A43" s="23">
        <f>Cases!A43</f>
        <v/>
      </c>
      <c r="B43" s="24">
        <f>Cases!B43</f>
        <v/>
      </c>
      <c r="C43" s="23">
        <f>Cases!C43</f>
        <v/>
      </c>
      <c r="D43" s="25">
        <f>Cases!D43</f>
        <v/>
      </c>
      <c r="E43" s="25">
        <f>IFERROR(INDEX(Proc_Name,MATCH(C43,Proc_CPT,0)),"MISSING")</f>
        <v/>
      </c>
      <c r="F43" s="26">
        <f>IFERROR(INDEX(Rate_Fee,MATCH(C43&amp;"|"&amp;D43,Rate_Key,0)),0)</f>
        <v/>
      </c>
      <c r="G43" s="26">
        <f>IFERROR(INDEX(Proc_Supplies,MATCH(C43,Proc_CPT,0)),0)</f>
        <v/>
      </c>
      <c r="H43" s="26">
        <f>Cases!G43</f>
        <v/>
      </c>
      <c r="I43" s="27">
        <f>Cases!F43</f>
        <v/>
      </c>
      <c r="J43" s="26">
        <f>I43*OR_Rate</f>
        <v/>
      </c>
      <c r="K43" s="28">
        <f>F43-G43-H43-J43</f>
        <v/>
      </c>
      <c r="L43" s="29">
        <f>IF(F43=0,0,K43/F43)</f>
        <v/>
      </c>
      <c r="M43" s="23">
        <f>IF(K43&lt;0,"LOSS","ok")</f>
        <v/>
      </c>
      <c r="N43" s="30">
        <f>YEAR(B43)*12+MONTH(B43)</f>
        <v/>
      </c>
      <c r="O43" s="23">
        <f>IFERROR(INDEX(Proc_Implant,MATCH(C43,Proc_CPT,0)),"MISSING")</f>
        <v/>
      </c>
      <c r="P43" s="26">
        <f>IFERROR(INDEX(Averages!$E$18:$E$23,MATCH(C43,Averages!$B$18:$B$23,0)),0)</f>
        <v/>
      </c>
      <c r="Q43" s="26">
        <f>F43-G43-P43-J43</f>
        <v/>
      </c>
      <c r="R43" s="23">
        <f>IF(Q43&lt;0,"LOSS","ok")</f>
        <v/>
      </c>
    </row>
    <row r="44">
      <c r="A44" s="23">
        <f>Cases!A44</f>
        <v/>
      </c>
      <c r="B44" s="24">
        <f>Cases!B44</f>
        <v/>
      </c>
      <c r="C44" s="23">
        <f>Cases!C44</f>
        <v/>
      </c>
      <c r="D44" s="25">
        <f>Cases!D44</f>
        <v/>
      </c>
      <c r="E44" s="25">
        <f>IFERROR(INDEX(Proc_Name,MATCH(C44,Proc_CPT,0)),"MISSING")</f>
        <v/>
      </c>
      <c r="F44" s="26">
        <f>IFERROR(INDEX(Rate_Fee,MATCH(C44&amp;"|"&amp;D44,Rate_Key,0)),0)</f>
        <v/>
      </c>
      <c r="G44" s="26">
        <f>IFERROR(INDEX(Proc_Supplies,MATCH(C44,Proc_CPT,0)),0)</f>
        <v/>
      </c>
      <c r="H44" s="26">
        <f>Cases!G44</f>
        <v/>
      </c>
      <c r="I44" s="27">
        <f>Cases!F44</f>
        <v/>
      </c>
      <c r="J44" s="26">
        <f>I44*OR_Rate</f>
        <v/>
      </c>
      <c r="K44" s="28">
        <f>F44-G44-H44-J44</f>
        <v/>
      </c>
      <c r="L44" s="29">
        <f>IF(F44=0,0,K44/F44)</f>
        <v/>
      </c>
      <c r="M44" s="23">
        <f>IF(K44&lt;0,"LOSS","ok")</f>
        <v/>
      </c>
      <c r="N44" s="30">
        <f>YEAR(B44)*12+MONTH(B44)</f>
        <v/>
      </c>
      <c r="O44" s="23">
        <f>IFERROR(INDEX(Proc_Implant,MATCH(C44,Proc_CPT,0)),"MISSING")</f>
        <v/>
      </c>
      <c r="P44" s="26">
        <f>IFERROR(INDEX(Averages!$E$18:$E$23,MATCH(C44,Averages!$B$18:$B$23,0)),0)</f>
        <v/>
      </c>
      <c r="Q44" s="26">
        <f>F44-G44-P44-J44</f>
        <v/>
      </c>
      <c r="R44" s="23">
        <f>IF(Q44&lt;0,"LOSS","ok")</f>
        <v/>
      </c>
    </row>
    <row r="45">
      <c r="A45" s="23">
        <f>Cases!A45</f>
        <v/>
      </c>
      <c r="B45" s="24">
        <f>Cases!B45</f>
        <v/>
      </c>
      <c r="C45" s="23">
        <f>Cases!C45</f>
        <v/>
      </c>
      <c r="D45" s="25">
        <f>Cases!D45</f>
        <v/>
      </c>
      <c r="E45" s="25">
        <f>IFERROR(INDEX(Proc_Name,MATCH(C45,Proc_CPT,0)),"MISSING")</f>
        <v/>
      </c>
      <c r="F45" s="26">
        <f>IFERROR(INDEX(Rate_Fee,MATCH(C45&amp;"|"&amp;D45,Rate_Key,0)),0)</f>
        <v/>
      </c>
      <c r="G45" s="26">
        <f>IFERROR(INDEX(Proc_Supplies,MATCH(C45,Proc_CPT,0)),0)</f>
        <v/>
      </c>
      <c r="H45" s="26">
        <f>Cases!G45</f>
        <v/>
      </c>
      <c r="I45" s="27">
        <f>Cases!F45</f>
        <v/>
      </c>
      <c r="J45" s="26">
        <f>I45*OR_Rate</f>
        <v/>
      </c>
      <c r="K45" s="28">
        <f>F45-G45-H45-J45</f>
        <v/>
      </c>
      <c r="L45" s="29">
        <f>IF(F45=0,0,K45/F45)</f>
        <v/>
      </c>
      <c r="M45" s="23">
        <f>IF(K45&lt;0,"LOSS","ok")</f>
        <v/>
      </c>
      <c r="N45" s="30">
        <f>YEAR(B45)*12+MONTH(B45)</f>
        <v/>
      </c>
      <c r="O45" s="23">
        <f>IFERROR(INDEX(Proc_Implant,MATCH(C45,Proc_CPT,0)),"MISSING")</f>
        <v/>
      </c>
      <c r="P45" s="26">
        <f>IFERROR(INDEX(Averages!$E$18:$E$23,MATCH(C45,Averages!$B$18:$B$23,0)),0)</f>
        <v/>
      </c>
      <c r="Q45" s="26">
        <f>F45-G45-P45-J45</f>
        <v/>
      </c>
      <c r="R45" s="23">
        <f>IF(Q45&lt;0,"LOSS","ok")</f>
        <v/>
      </c>
    </row>
    <row r="47">
      <c r="A47" s="20" t="inlineStr">
        <is>
          <t>Total</t>
        </is>
      </c>
      <c r="F47" s="22">
        <f>SUM(F6:F45)</f>
        <v/>
      </c>
      <c r="G47" s="22">
        <f>SUM(G6:G45)</f>
        <v/>
      </c>
      <c r="H47" s="22">
        <f>SUM(H6:H45)</f>
        <v/>
      </c>
      <c r="I47" s="21">
        <f>SUM(I6:I45)</f>
        <v/>
      </c>
      <c r="J47" s="22">
        <f>SUM(J6:J45)</f>
        <v/>
      </c>
      <c r="K47" s="22">
        <f>SUM(K6:K45)</f>
        <v/>
      </c>
      <c r="L47" s="31">
        <f>IF(F47=0,0,K47/F47)</f>
        <v/>
      </c>
      <c r="M47" s="21">
        <f>COUNTIF(M6:M45,"LOSS")</f>
        <v/>
      </c>
      <c r="Q47" s="22">
        <f>SUM(Q6:Q45)</f>
        <v/>
      </c>
      <c r="R47" s="21">
        <f>COUNTIF(R6:R45,"LOSS")</f>
        <v/>
      </c>
    </row>
    <row r="49">
      <c r="A49" s="11" t="inlineStr">
        <is>
          <t>Columns P to R re-cost every case with the implant AVERAGED across its CPT — the shortcut most centers take. Compare the two flag columns.</t>
        </is>
      </c>
    </row>
    <row r="51">
      <c r="A51" s="5" t="n"/>
      <c r="B51" s="5" t="n"/>
      <c r="C51" s="5" t="n"/>
      <c r="D51" s="5" t="n"/>
      <c r="E51" s="5" t="n"/>
      <c r="F51" s="5" t="n"/>
      <c r="G51" s="5" t="n"/>
      <c r="H51" s="5" t="n"/>
      <c r="I51" s="5" t="n"/>
      <c r="J51" s="5" t="n"/>
      <c r="K51" s="5" t="n"/>
      <c r="L51" s="5" t="n"/>
      <c r="M51" s="5" t="n"/>
      <c r="N51" s="5" t="n"/>
      <c r="O51" s="5" t="n"/>
      <c r="P51" s="5" t="n"/>
      <c r="Q51" s="5" t="n"/>
      <c r="R51" s="5" t="n"/>
    </row>
    <row r="52">
      <c r="A52" s="6" t="inlineStr">
        <is>
          <t>Spreadsheet Studio template v1.0  ·  built for this client, formulas live</t>
        </is>
      </c>
    </row>
  </sheetData>
  <conditionalFormatting sqref="M6:M45">
    <cfRule type="expression" priority="1" dxfId="0" stopIfTrue="0">
      <formula>$M6="LOSS"</formula>
    </cfRule>
  </conditionalFormatting>
  <conditionalFormatting sqref="R6:R45">
    <cfRule type="expression" priority="2" dxfId="0" stopIfTrue="0">
      <formula>$R6="LOSS"</formula>
    </cfRule>
  </conditionalFormatting>
  <conditionalFormatting sqref="K6:K45">
    <cfRule type="expression" priority="3" dxfId="1">
      <formula>$K6&lt;0</formula>
    </cfRule>
  </conditionalFormatting>
  <pageMargins left="0.75" right="0.75" top="1" bottom="1" header="0.5" footer="0.5"/>
  <pageSetup orientation="landscape" fitToWidth="1"/>
</worksheet>
</file>

<file path=xl/worksheets/sheet5.xml><?xml version="1.0" encoding="utf-8"?>
<worksheet xmlns="http://schemas.openxmlformats.org/spreadsheetml/2006/main">
  <sheetPr>
    <tabColor rgb="001F6F4A"/>
    <outlinePr summaryBelow="1" summaryRight="1"/>
    <pageSetUpPr fitToPage="1"/>
  </sheetPr>
  <dimension ref="A2:G60"/>
  <sheetViews>
    <sheetView showGridLines="0" zoomScale="115" workbookViewId="0">
      <pane xSplit="2" ySplit="6" topLeftCell="C7" activePane="bottomRight" state="frozen"/>
      <selection pane="topRight"/>
      <selection pane="bottomLeft"/>
      <selection pane="bottomRight" activeCell="A1" sqref="A1"/>
    </sheetView>
  </sheetViews>
  <sheetFormatPr baseColWidth="8" defaultRowHeight="15"/>
  <cols>
    <col width="34" customWidth="1" min="1" max="1"/>
    <col width="8" customWidth="1" min="2" max="2"/>
    <col width="15" customWidth="1" min="3" max="3"/>
    <col width="15" customWidth="1" min="4" max="4"/>
    <col width="17" customWidth="1" min="5" max="5"/>
    <col width="15" customWidth="1" min="6" max="6"/>
    <col width="14" customWidth="1" min="7" max="7"/>
  </cols>
  <sheetData>
    <row r="2">
      <c r="A2" s="1">
        <f>Client_Name&amp;" — where the money is made, and where it is lost"</f>
        <v/>
      </c>
    </row>
    <row r="3">
      <c r="A3" s="2" t="inlineStr">
        <is>
          <t>Every case lands in exactly one cell of each grid. The losing cells are red.</t>
        </is>
      </c>
    </row>
    <row r="5">
      <c r="A5" s="7" t="inlineStr">
        <is>
          <t>CASES</t>
        </is>
      </c>
      <c r="B5" s="8" t="n"/>
      <c r="C5" s="8" t="n"/>
      <c r="D5" s="8" t="n"/>
      <c r="E5" s="8" t="n"/>
      <c r="F5" s="8" t="n"/>
      <c r="G5" s="8" t="n"/>
    </row>
    <row r="6">
      <c r="A6" s="32" t="inlineStr">
        <is>
          <t>Procedure</t>
        </is>
      </c>
      <c r="B6" s="14" t="inlineStr">
        <is>
          <t>CPT</t>
        </is>
      </c>
      <c r="C6" s="14" t="inlineStr">
        <is>
          <t>Medicare</t>
        </is>
      </c>
      <c r="D6" s="14" t="inlineStr">
        <is>
          <t>Blue Cross PPO</t>
        </is>
      </c>
      <c r="E6" s="14" t="inlineStr">
        <is>
          <t>UnitedHealthcare</t>
        </is>
      </c>
      <c r="F6" s="14" t="inlineStr">
        <is>
          <t>Workers' Comp</t>
        </is>
      </c>
      <c r="G6" s="14" t="inlineStr">
        <is>
          <t>All payers</t>
        </is>
      </c>
    </row>
    <row r="7">
      <c r="A7" s="25">
        <f>Inputs!A12</f>
        <v/>
      </c>
      <c r="B7" s="23">
        <f>Inputs!B12</f>
        <v/>
      </c>
      <c r="C7" s="27">
        <f>COUNTIFS(Costing!$C$6:$C$45,$B7,Costing!$D$6:$D$45,C$6)</f>
        <v/>
      </c>
      <c r="D7" s="27">
        <f>COUNTIFS(Costing!$C$6:$C$45,$B7,Costing!$D$6:$D$45,D$6)</f>
        <v/>
      </c>
      <c r="E7" s="27">
        <f>COUNTIFS(Costing!$C$6:$C$45,$B7,Costing!$D$6:$D$45,E$6)</f>
        <v/>
      </c>
      <c r="F7" s="27">
        <f>COUNTIFS(Costing!$C$6:$C$45,$B7,Costing!$D$6:$D$45,F$6)</f>
        <v/>
      </c>
      <c r="G7" s="33">
        <f>SUM(C7:F7)</f>
        <v/>
      </c>
    </row>
    <row r="8">
      <c r="A8" s="25">
        <f>Inputs!A13</f>
        <v/>
      </c>
      <c r="B8" s="23">
        <f>Inputs!B13</f>
        <v/>
      </c>
      <c r="C8" s="27">
        <f>COUNTIFS(Costing!$C$6:$C$45,$B8,Costing!$D$6:$D$45,C$6)</f>
        <v/>
      </c>
      <c r="D8" s="27">
        <f>COUNTIFS(Costing!$C$6:$C$45,$B8,Costing!$D$6:$D$45,D$6)</f>
        <v/>
      </c>
      <c r="E8" s="27">
        <f>COUNTIFS(Costing!$C$6:$C$45,$B8,Costing!$D$6:$D$45,E$6)</f>
        <v/>
      </c>
      <c r="F8" s="27">
        <f>COUNTIFS(Costing!$C$6:$C$45,$B8,Costing!$D$6:$D$45,F$6)</f>
        <v/>
      </c>
      <c r="G8" s="33">
        <f>SUM(C8:F8)</f>
        <v/>
      </c>
    </row>
    <row r="9">
      <c r="A9" s="25">
        <f>Inputs!A14</f>
        <v/>
      </c>
      <c r="B9" s="23">
        <f>Inputs!B14</f>
        <v/>
      </c>
      <c r="C9" s="27">
        <f>COUNTIFS(Costing!$C$6:$C$45,$B9,Costing!$D$6:$D$45,C$6)</f>
        <v/>
      </c>
      <c r="D9" s="27">
        <f>COUNTIFS(Costing!$C$6:$C$45,$B9,Costing!$D$6:$D$45,D$6)</f>
        <v/>
      </c>
      <c r="E9" s="27">
        <f>COUNTIFS(Costing!$C$6:$C$45,$B9,Costing!$D$6:$D$45,E$6)</f>
        <v/>
      </c>
      <c r="F9" s="27">
        <f>COUNTIFS(Costing!$C$6:$C$45,$B9,Costing!$D$6:$D$45,F$6)</f>
        <v/>
      </c>
      <c r="G9" s="33">
        <f>SUM(C9:F9)</f>
        <v/>
      </c>
    </row>
    <row r="10">
      <c r="A10" s="25">
        <f>Inputs!A15</f>
        <v/>
      </c>
      <c r="B10" s="23">
        <f>Inputs!B15</f>
        <v/>
      </c>
      <c r="C10" s="27">
        <f>COUNTIFS(Costing!$C$6:$C$45,$B10,Costing!$D$6:$D$45,C$6)</f>
        <v/>
      </c>
      <c r="D10" s="27">
        <f>COUNTIFS(Costing!$C$6:$C$45,$B10,Costing!$D$6:$D$45,D$6)</f>
        <v/>
      </c>
      <c r="E10" s="27">
        <f>COUNTIFS(Costing!$C$6:$C$45,$B10,Costing!$D$6:$D$45,E$6)</f>
        <v/>
      </c>
      <c r="F10" s="27">
        <f>COUNTIFS(Costing!$C$6:$C$45,$B10,Costing!$D$6:$D$45,F$6)</f>
        <v/>
      </c>
      <c r="G10" s="33">
        <f>SUM(C10:F10)</f>
        <v/>
      </c>
    </row>
    <row r="11">
      <c r="A11" s="25">
        <f>Inputs!A16</f>
        <v/>
      </c>
      <c r="B11" s="23">
        <f>Inputs!B16</f>
        <v/>
      </c>
      <c r="C11" s="27">
        <f>COUNTIFS(Costing!$C$6:$C$45,$B11,Costing!$D$6:$D$45,C$6)</f>
        <v/>
      </c>
      <c r="D11" s="27">
        <f>COUNTIFS(Costing!$C$6:$C$45,$B11,Costing!$D$6:$D$45,D$6)</f>
        <v/>
      </c>
      <c r="E11" s="27">
        <f>COUNTIFS(Costing!$C$6:$C$45,$B11,Costing!$D$6:$D$45,E$6)</f>
        <v/>
      </c>
      <c r="F11" s="27">
        <f>COUNTIFS(Costing!$C$6:$C$45,$B11,Costing!$D$6:$D$45,F$6)</f>
        <v/>
      </c>
      <c r="G11" s="33">
        <f>SUM(C11:F11)</f>
        <v/>
      </c>
    </row>
    <row r="12">
      <c r="A12" s="25">
        <f>Inputs!A17</f>
        <v/>
      </c>
      <c r="B12" s="23">
        <f>Inputs!B17</f>
        <v/>
      </c>
      <c r="C12" s="27">
        <f>COUNTIFS(Costing!$C$6:$C$45,$B12,Costing!$D$6:$D$45,C$6)</f>
        <v/>
      </c>
      <c r="D12" s="27">
        <f>COUNTIFS(Costing!$C$6:$C$45,$B12,Costing!$D$6:$D$45,D$6)</f>
        <v/>
      </c>
      <c r="E12" s="27">
        <f>COUNTIFS(Costing!$C$6:$C$45,$B12,Costing!$D$6:$D$45,E$6)</f>
        <v/>
      </c>
      <c r="F12" s="27">
        <f>COUNTIFS(Costing!$C$6:$C$45,$B12,Costing!$D$6:$D$45,F$6)</f>
        <v/>
      </c>
      <c r="G12" s="33">
        <f>SUM(C12:F12)</f>
        <v/>
      </c>
    </row>
    <row r="13">
      <c r="A13" s="34" t="inlineStr">
        <is>
          <t>All procedures</t>
        </is>
      </c>
      <c r="B13" s="35" t="n"/>
      <c r="C13" s="21">
        <f>SUM(C7:C12)</f>
        <v/>
      </c>
      <c r="D13" s="21">
        <f>SUM(D7:D12)</f>
        <v/>
      </c>
      <c r="E13" s="21">
        <f>SUM(E7:E12)</f>
        <v/>
      </c>
      <c r="F13" s="21">
        <f>SUM(F7:F12)</f>
        <v/>
      </c>
      <c r="G13" s="21">
        <f>SUM(G7:G12)</f>
        <v/>
      </c>
    </row>
    <row r="15">
      <c r="A15" s="7" t="inlineStr">
        <is>
          <t>FACILITY FEE REVENUE</t>
        </is>
      </c>
      <c r="B15" s="8" t="n"/>
      <c r="C15" s="8" t="n"/>
      <c r="D15" s="8" t="n"/>
      <c r="E15" s="8" t="n"/>
      <c r="F15" s="8" t="n"/>
      <c r="G15" s="8" t="n"/>
    </row>
    <row r="16">
      <c r="A16" s="32" t="inlineStr">
        <is>
          <t>Procedure</t>
        </is>
      </c>
      <c r="B16" s="14" t="inlineStr">
        <is>
          <t>CPT</t>
        </is>
      </c>
      <c r="C16" s="14" t="inlineStr">
        <is>
          <t>Medicare</t>
        </is>
      </c>
      <c r="D16" s="14" t="inlineStr">
        <is>
          <t>Blue Cross PPO</t>
        </is>
      </c>
      <c r="E16" s="14" t="inlineStr">
        <is>
          <t>UnitedHealthcare</t>
        </is>
      </c>
      <c r="F16" s="14" t="inlineStr">
        <is>
          <t>Workers' Comp</t>
        </is>
      </c>
      <c r="G16" s="14" t="inlineStr">
        <is>
          <t>All payers</t>
        </is>
      </c>
    </row>
    <row r="17">
      <c r="A17" s="25">
        <f>Inputs!A12</f>
        <v/>
      </c>
      <c r="B17" s="23">
        <f>Inputs!B12</f>
        <v/>
      </c>
      <c r="C17" s="26">
        <f>SUMIFS(Costing!$F$6:$F$45,Costing!$C$6:$C$45,$B17,Costing!$D$6:$D$45,C$16)</f>
        <v/>
      </c>
      <c r="D17" s="26">
        <f>SUMIFS(Costing!$F$6:$F$45,Costing!$C$6:$C$45,$B17,Costing!$D$6:$D$45,D$16)</f>
        <v/>
      </c>
      <c r="E17" s="26">
        <f>SUMIFS(Costing!$F$6:$F$45,Costing!$C$6:$C$45,$B17,Costing!$D$6:$D$45,E$16)</f>
        <v/>
      </c>
      <c r="F17" s="26">
        <f>SUMIFS(Costing!$F$6:$F$45,Costing!$C$6:$C$45,$B17,Costing!$D$6:$D$45,F$16)</f>
        <v/>
      </c>
      <c r="G17" s="28">
        <f>SUM(C17:F17)</f>
        <v/>
      </c>
    </row>
    <row r="18">
      <c r="A18" s="25">
        <f>Inputs!A13</f>
        <v/>
      </c>
      <c r="B18" s="23">
        <f>Inputs!B13</f>
        <v/>
      </c>
      <c r="C18" s="26">
        <f>SUMIFS(Costing!$F$6:$F$45,Costing!$C$6:$C$45,$B18,Costing!$D$6:$D$45,C$16)</f>
        <v/>
      </c>
      <c r="D18" s="26">
        <f>SUMIFS(Costing!$F$6:$F$45,Costing!$C$6:$C$45,$B18,Costing!$D$6:$D$45,D$16)</f>
        <v/>
      </c>
      <c r="E18" s="26">
        <f>SUMIFS(Costing!$F$6:$F$45,Costing!$C$6:$C$45,$B18,Costing!$D$6:$D$45,E$16)</f>
        <v/>
      </c>
      <c r="F18" s="26">
        <f>SUMIFS(Costing!$F$6:$F$45,Costing!$C$6:$C$45,$B18,Costing!$D$6:$D$45,F$16)</f>
        <v/>
      </c>
      <c r="G18" s="28">
        <f>SUM(C18:F18)</f>
        <v/>
      </c>
    </row>
    <row r="19">
      <c r="A19" s="25">
        <f>Inputs!A14</f>
        <v/>
      </c>
      <c r="B19" s="23">
        <f>Inputs!B14</f>
        <v/>
      </c>
      <c r="C19" s="26">
        <f>SUMIFS(Costing!$F$6:$F$45,Costing!$C$6:$C$45,$B19,Costing!$D$6:$D$45,C$16)</f>
        <v/>
      </c>
      <c r="D19" s="26">
        <f>SUMIFS(Costing!$F$6:$F$45,Costing!$C$6:$C$45,$B19,Costing!$D$6:$D$45,D$16)</f>
        <v/>
      </c>
      <c r="E19" s="26">
        <f>SUMIFS(Costing!$F$6:$F$45,Costing!$C$6:$C$45,$B19,Costing!$D$6:$D$45,E$16)</f>
        <v/>
      </c>
      <c r="F19" s="26">
        <f>SUMIFS(Costing!$F$6:$F$45,Costing!$C$6:$C$45,$B19,Costing!$D$6:$D$45,F$16)</f>
        <v/>
      </c>
      <c r="G19" s="28">
        <f>SUM(C19:F19)</f>
        <v/>
      </c>
    </row>
    <row r="20">
      <c r="A20" s="25">
        <f>Inputs!A15</f>
        <v/>
      </c>
      <c r="B20" s="23">
        <f>Inputs!B15</f>
        <v/>
      </c>
      <c r="C20" s="26">
        <f>SUMIFS(Costing!$F$6:$F$45,Costing!$C$6:$C$45,$B20,Costing!$D$6:$D$45,C$16)</f>
        <v/>
      </c>
      <c r="D20" s="26">
        <f>SUMIFS(Costing!$F$6:$F$45,Costing!$C$6:$C$45,$B20,Costing!$D$6:$D$45,D$16)</f>
        <v/>
      </c>
      <c r="E20" s="26">
        <f>SUMIFS(Costing!$F$6:$F$45,Costing!$C$6:$C$45,$B20,Costing!$D$6:$D$45,E$16)</f>
        <v/>
      </c>
      <c r="F20" s="26">
        <f>SUMIFS(Costing!$F$6:$F$45,Costing!$C$6:$C$45,$B20,Costing!$D$6:$D$45,F$16)</f>
        <v/>
      </c>
      <c r="G20" s="28">
        <f>SUM(C20:F20)</f>
        <v/>
      </c>
    </row>
    <row r="21">
      <c r="A21" s="25">
        <f>Inputs!A16</f>
        <v/>
      </c>
      <c r="B21" s="23">
        <f>Inputs!B16</f>
        <v/>
      </c>
      <c r="C21" s="26">
        <f>SUMIFS(Costing!$F$6:$F$45,Costing!$C$6:$C$45,$B21,Costing!$D$6:$D$45,C$16)</f>
        <v/>
      </c>
      <c r="D21" s="26">
        <f>SUMIFS(Costing!$F$6:$F$45,Costing!$C$6:$C$45,$B21,Costing!$D$6:$D$45,D$16)</f>
        <v/>
      </c>
      <c r="E21" s="26">
        <f>SUMIFS(Costing!$F$6:$F$45,Costing!$C$6:$C$45,$B21,Costing!$D$6:$D$45,E$16)</f>
        <v/>
      </c>
      <c r="F21" s="26">
        <f>SUMIFS(Costing!$F$6:$F$45,Costing!$C$6:$C$45,$B21,Costing!$D$6:$D$45,F$16)</f>
        <v/>
      </c>
      <c r="G21" s="28">
        <f>SUM(C21:F21)</f>
        <v/>
      </c>
    </row>
    <row r="22">
      <c r="A22" s="25">
        <f>Inputs!A17</f>
        <v/>
      </c>
      <c r="B22" s="23">
        <f>Inputs!B17</f>
        <v/>
      </c>
      <c r="C22" s="26">
        <f>SUMIFS(Costing!$F$6:$F$45,Costing!$C$6:$C$45,$B22,Costing!$D$6:$D$45,C$16)</f>
        <v/>
      </c>
      <c r="D22" s="26">
        <f>SUMIFS(Costing!$F$6:$F$45,Costing!$C$6:$C$45,$B22,Costing!$D$6:$D$45,D$16)</f>
        <v/>
      </c>
      <c r="E22" s="26">
        <f>SUMIFS(Costing!$F$6:$F$45,Costing!$C$6:$C$45,$B22,Costing!$D$6:$D$45,E$16)</f>
        <v/>
      </c>
      <c r="F22" s="26">
        <f>SUMIFS(Costing!$F$6:$F$45,Costing!$C$6:$C$45,$B22,Costing!$D$6:$D$45,F$16)</f>
        <v/>
      </c>
      <c r="G22" s="28">
        <f>SUM(C22:F22)</f>
        <v/>
      </c>
    </row>
    <row r="23">
      <c r="A23" s="34" t="inlineStr">
        <is>
          <t>All procedures</t>
        </is>
      </c>
      <c r="B23" s="35" t="n"/>
      <c r="C23" s="22">
        <f>SUM(C17:C22)</f>
        <v/>
      </c>
      <c r="D23" s="22">
        <f>SUM(D17:D22)</f>
        <v/>
      </c>
      <c r="E23" s="22">
        <f>SUM(E17:E22)</f>
        <v/>
      </c>
      <c r="F23" s="22">
        <f>SUM(F17:F22)</f>
        <v/>
      </c>
      <c r="G23" s="22">
        <f>SUM(G17:G22)</f>
        <v/>
      </c>
    </row>
    <row r="25">
      <c r="A25" s="7" t="inlineStr">
        <is>
          <t>CONTRIBUTION AFTER SUPPLIES, IMPLANTS AND OR TIME</t>
        </is>
      </c>
      <c r="B25" s="8" t="n"/>
      <c r="C25" s="8" t="n"/>
      <c r="D25" s="8" t="n"/>
      <c r="E25" s="8" t="n"/>
      <c r="F25" s="8" t="n"/>
      <c r="G25" s="8" t="n"/>
    </row>
    <row r="26">
      <c r="A26" s="32" t="inlineStr">
        <is>
          <t>Procedure</t>
        </is>
      </c>
      <c r="B26" s="14" t="inlineStr">
        <is>
          <t>CPT</t>
        </is>
      </c>
      <c r="C26" s="14" t="inlineStr">
        <is>
          <t>Medicare</t>
        </is>
      </c>
      <c r="D26" s="14" t="inlineStr">
        <is>
          <t>Blue Cross PPO</t>
        </is>
      </c>
      <c r="E26" s="14" t="inlineStr">
        <is>
          <t>UnitedHealthcare</t>
        </is>
      </c>
      <c r="F26" s="14" t="inlineStr">
        <is>
          <t>Workers' Comp</t>
        </is>
      </c>
      <c r="G26" s="14" t="inlineStr">
        <is>
          <t>All payers</t>
        </is>
      </c>
    </row>
    <row r="27">
      <c r="A27" s="25">
        <f>Inputs!A12</f>
        <v/>
      </c>
      <c r="B27" s="23">
        <f>Inputs!B12</f>
        <v/>
      </c>
      <c r="C27" s="26">
        <f>SUMIFS(Costing!$K$6:$K$45,Costing!$C$6:$C$45,$B27,Costing!$D$6:$D$45,C$26)</f>
        <v/>
      </c>
      <c r="D27" s="26">
        <f>SUMIFS(Costing!$K$6:$K$45,Costing!$C$6:$C$45,$B27,Costing!$D$6:$D$45,D$26)</f>
        <v/>
      </c>
      <c r="E27" s="26">
        <f>SUMIFS(Costing!$K$6:$K$45,Costing!$C$6:$C$45,$B27,Costing!$D$6:$D$45,E$26)</f>
        <v/>
      </c>
      <c r="F27" s="26">
        <f>SUMIFS(Costing!$K$6:$K$45,Costing!$C$6:$C$45,$B27,Costing!$D$6:$D$45,F$26)</f>
        <v/>
      </c>
      <c r="G27" s="28">
        <f>SUM(C27:F27)</f>
        <v/>
      </c>
    </row>
    <row r="28">
      <c r="A28" s="25">
        <f>Inputs!A13</f>
        <v/>
      </c>
      <c r="B28" s="23">
        <f>Inputs!B13</f>
        <v/>
      </c>
      <c r="C28" s="26">
        <f>SUMIFS(Costing!$K$6:$K$45,Costing!$C$6:$C$45,$B28,Costing!$D$6:$D$45,C$26)</f>
        <v/>
      </c>
      <c r="D28" s="26">
        <f>SUMIFS(Costing!$K$6:$K$45,Costing!$C$6:$C$45,$B28,Costing!$D$6:$D$45,D$26)</f>
        <v/>
      </c>
      <c r="E28" s="26">
        <f>SUMIFS(Costing!$K$6:$K$45,Costing!$C$6:$C$45,$B28,Costing!$D$6:$D$45,E$26)</f>
        <v/>
      </c>
      <c r="F28" s="26">
        <f>SUMIFS(Costing!$K$6:$K$45,Costing!$C$6:$C$45,$B28,Costing!$D$6:$D$45,F$26)</f>
        <v/>
      </c>
      <c r="G28" s="28">
        <f>SUM(C28:F28)</f>
        <v/>
      </c>
    </row>
    <row r="29">
      <c r="A29" s="25">
        <f>Inputs!A14</f>
        <v/>
      </c>
      <c r="B29" s="23">
        <f>Inputs!B14</f>
        <v/>
      </c>
      <c r="C29" s="26">
        <f>SUMIFS(Costing!$K$6:$K$45,Costing!$C$6:$C$45,$B29,Costing!$D$6:$D$45,C$26)</f>
        <v/>
      </c>
      <c r="D29" s="26">
        <f>SUMIFS(Costing!$K$6:$K$45,Costing!$C$6:$C$45,$B29,Costing!$D$6:$D$45,D$26)</f>
        <v/>
      </c>
      <c r="E29" s="26">
        <f>SUMIFS(Costing!$K$6:$K$45,Costing!$C$6:$C$45,$B29,Costing!$D$6:$D$45,E$26)</f>
        <v/>
      </c>
      <c r="F29" s="26">
        <f>SUMIFS(Costing!$K$6:$K$45,Costing!$C$6:$C$45,$B29,Costing!$D$6:$D$45,F$26)</f>
        <v/>
      </c>
      <c r="G29" s="28">
        <f>SUM(C29:F29)</f>
        <v/>
      </c>
    </row>
    <row r="30">
      <c r="A30" s="25">
        <f>Inputs!A15</f>
        <v/>
      </c>
      <c r="B30" s="23">
        <f>Inputs!B15</f>
        <v/>
      </c>
      <c r="C30" s="26">
        <f>SUMIFS(Costing!$K$6:$K$45,Costing!$C$6:$C$45,$B30,Costing!$D$6:$D$45,C$26)</f>
        <v/>
      </c>
      <c r="D30" s="26">
        <f>SUMIFS(Costing!$K$6:$K$45,Costing!$C$6:$C$45,$B30,Costing!$D$6:$D$45,D$26)</f>
        <v/>
      </c>
      <c r="E30" s="26">
        <f>SUMIFS(Costing!$K$6:$K$45,Costing!$C$6:$C$45,$B30,Costing!$D$6:$D$45,E$26)</f>
        <v/>
      </c>
      <c r="F30" s="26">
        <f>SUMIFS(Costing!$K$6:$K$45,Costing!$C$6:$C$45,$B30,Costing!$D$6:$D$45,F$26)</f>
        <v/>
      </c>
      <c r="G30" s="28">
        <f>SUM(C30:F30)</f>
        <v/>
      </c>
    </row>
    <row r="31">
      <c r="A31" s="25">
        <f>Inputs!A16</f>
        <v/>
      </c>
      <c r="B31" s="23">
        <f>Inputs!B16</f>
        <v/>
      </c>
      <c r="C31" s="26">
        <f>SUMIFS(Costing!$K$6:$K$45,Costing!$C$6:$C$45,$B31,Costing!$D$6:$D$45,C$26)</f>
        <v/>
      </c>
      <c r="D31" s="26">
        <f>SUMIFS(Costing!$K$6:$K$45,Costing!$C$6:$C$45,$B31,Costing!$D$6:$D$45,D$26)</f>
        <v/>
      </c>
      <c r="E31" s="26">
        <f>SUMIFS(Costing!$K$6:$K$45,Costing!$C$6:$C$45,$B31,Costing!$D$6:$D$45,E$26)</f>
        <v/>
      </c>
      <c r="F31" s="26">
        <f>SUMIFS(Costing!$K$6:$K$45,Costing!$C$6:$C$45,$B31,Costing!$D$6:$D$45,F$26)</f>
        <v/>
      </c>
      <c r="G31" s="28">
        <f>SUM(C31:F31)</f>
        <v/>
      </c>
    </row>
    <row r="32">
      <c r="A32" s="25">
        <f>Inputs!A17</f>
        <v/>
      </c>
      <c r="B32" s="23">
        <f>Inputs!B17</f>
        <v/>
      </c>
      <c r="C32" s="26">
        <f>SUMIFS(Costing!$K$6:$K$45,Costing!$C$6:$C$45,$B32,Costing!$D$6:$D$45,C$26)</f>
        <v/>
      </c>
      <c r="D32" s="26">
        <f>SUMIFS(Costing!$K$6:$K$45,Costing!$C$6:$C$45,$B32,Costing!$D$6:$D$45,D$26)</f>
        <v/>
      </c>
      <c r="E32" s="26">
        <f>SUMIFS(Costing!$K$6:$K$45,Costing!$C$6:$C$45,$B32,Costing!$D$6:$D$45,E$26)</f>
        <v/>
      </c>
      <c r="F32" s="26">
        <f>SUMIFS(Costing!$K$6:$K$45,Costing!$C$6:$C$45,$B32,Costing!$D$6:$D$45,F$26)</f>
        <v/>
      </c>
      <c r="G32" s="28">
        <f>SUM(C32:F32)</f>
        <v/>
      </c>
    </row>
    <row r="33">
      <c r="A33" s="34" t="inlineStr">
        <is>
          <t>All procedures</t>
        </is>
      </c>
      <c r="B33" s="35" t="n"/>
      <c r="C33" s="22">
        <f>SUM(C27:C32)</f>
        <v/>
      </c>
      <c r="D33" s="22">
        <f>SUM(D27:D32)</f>
        <v/>
      </c>
      <c r="E33" s="22">
        <f>SUM(E27:E32)</f>
        <v/>
      </c>
      <c r="F33" s="22">
        <f>SUM(F27:F32)</f>
        <v/>
      </c>
      <c r="G33" s="22">
        <f>SUM(G27:G32)</f>
        <v/>
      </c>
    </row>
    <row r="35">
      <c r="A35" s="7" t="inlineStr">
        <is>
          <t>CONTRIBUTION PER CASE</t>
        </is>
      </c>
      <c r="B35" s="8" t="n"/>
      <c r="C35" s="8" t="n"/>
      <c r="D35" s="8" t="n"/>
      <c r="E35" s="8" t="n"/>
      <c r="F35" s="8" t="n"/>
      <c r="G35" s="8" t="n"/>
    </row>
    <row r="36">
      <c r="A36" s="32" t="inlineStr">
        <is>
          <t>Procedure</t>
        </is>
      </c>
      <c r="B36" s="14" t="inlineStr">
        <is>
          <t>CPT</t>
        </is>
      </c>
      <c r="C36" s="14" t="inlineStr">
        <is>
          <t>Medicare</t>
        </is>
      </c>
      <c r="D36" s="14" t="inlineStr">
        <is>
          <t>Blue Cross PPO</t>
        </is>
      </c>
      <c r="E36" s="14" t="inlineStr">
        <is>
          <t>UnitedHealthcare</t>
        </is>
      </c>
      <c r="F36" s="14" t="inlineStr">
        <is>
          <t>Workers' Comp</t>
        </is>
      </c>
      <c r="G36" s="14" t="inlineStr">
        <is>
          <t>All payers</t>
        </is>
      </c>
    </row>
    <row r="37">
      <c r="A37" s="25">
        <f>Inputs!A12</f>
        <v/>
      </c>
      <c r="B37" s="23">
        <f>Inputs!B12</f>
        <v/>
      </c>
      <c r="C37" s="26">
        <f>IF(COUNTIFS(Costing!$C$6:$C$45,$B37,Costing!$D$6:$D$45,C$36)=0,0,SUMIFS(Costing!$K$6:$K$45,Costing!$C$6:$C$45,$B37,Costing!$D$6:$D$45,C$36)/COUNTIFS(Costing!$C$6:$C$45,$B37,Costing!$D$6:$D$45,C$36))</f>
        <v/>
      </c>
      <c r="D37" s="26">
        <f>IF(COUNTIFS(Costing!$C$6:$C$45,$B37,Costing!$D$6:$D$45,D$36)=0,0,SUMIFS(Costing!$K$6:$K$45,Costing!$C$6:$C$45,$B37,Costing!$D$6:$D$45,D$36)/COUNTIFS(Costing!$C$6:$C$45,$B37,Costing!$D$6:$D$45,D$36))</f>
        <v/>
      </c>
      <c r="E37" s="26">
        <f>IF(COUNTIFS(Costing!$C$6:$C$45,$B37,Costing!$D$6:$D$45,E$36)=0,0,SUMIFS(Costing!$K$6:$K$45,Costing!$C$6:$C$45,$B37,Costing!$D$6:$D$45,E$36)/COUNTIFS(Costing!$C$6:$C$45,$B37,Costing!$D$6:$D$45,E$36))</f>
        <v/>
      </c>
      <c r="F37" s="26">
        <f>IF(COUNTIFS(Costing!$C$6:$C$45,$B37,Costing!$D$6:$D$45,F$36)=0,0,SUMIFS(Costing!$K$6:$K$45,Costing!$C$6:$C$45,$B37,Costing!$D$6:$D$45,F$36)/COUNTIFS(Costing!$C$6:$C$45,$B37,Costing!$D$6:$D$45,F$36))</f>
        <v/>
      </c>
      <c r="G37" s="28">
        <f>IF(COUNTIF(Costing!$C$6:$C$45,$B37)=0,0,SUMIF(Costing!$C$6:$C$45,$B37,Costing!$K$6:$K$45)/COUNTIF(Costing!$C$6:$C$45,$B37))</f>
        <v/>
      </c>
    </row>
    <row r="38">
      <c r="A38" s="25">
        <f>Inputs!A13</f>
        <v/>
      </c>
      <c r="B38" s="23">
        <f>Inputs!B13</f>
        <v/>
      </c>
      <c r="C38" s="26">
        <f>IF(COUNTIFS(Costing!$C$6:$C$45,$B38,Costing!$D$6:$D$45,C$36)=0,0,SUMIFS(Costing!$K$6:$K$45,Costing!$C$6:$C$45,$B38,Costing!$D$6:$D$45,C$36)/COUNTIFS(Costing!$C$6:$C$45,$B38,Costing!$D$6:$D$45,C$36))</f>
        <v/>
      </c>
      <c r="D38" s="26">
        <f>IF(COUNTIFS(Costing!$C$6:$C$45,$B38,Costing!$D$6:$D$45,D$36)=0,0,SUMIFS(Costing!$K$6:$K$45,Costing!$C$6:$C$45,$B38,Costing!$D$6:$D$45,D$36)/COUNTIFS(Costing!$C$6:$C$45,$B38,Costing!$D$6:$D$45,D$36))</f>
        <v/>
      </c>
      <c r="E38" s="26">
        <f>IF(COUNTIFS(Costing!$C$6:$C$45,$B38,Costing!$D$6:$D$45,E$36)=0,0,SUMIFS(Costing!$K$6:$K$45,Costing!$C$6:$C$45,$B38,Costing!$D$6:$D$45,E$36)/COUNTIFS(Costing!$C$6:$C$45,$B38,Costing!$D$6:$D$45,E$36))</f>
        <v/>
      </c>
      <c r="F38" s="26">
        <f>IF(COUNTIFS(Costing!$C$6:$C$45,$B38,Costing!$D$6:$D$45,F$36)=0,0,SUMIFS(Costing!$K$6:$K$45,Costing!$C$6:$C$45,$B38,Costing!$D$6:$D$45,F$36)/COUNTIFS(Costing!$C$6:$C$45,$B38,Costing!$D$6:$D$45,F$36))</f>
        <v/>
      </c>
      <c r="G38" s="28">
        <f>IF(COUNTIF(Costing!$C$6:$C$45,$B38)=0,0,SUMIF(Costing!$C$6:$C$45,$B38,Costing!$K$6:$K$45)/COUNTIF(Costing!$C$6:$C$45,$B38))</f>
        <v/>
      </c>
    </row>
    <row r="39">
      <c r="A39" s="25">
        <f>Inputs!A14</f>
        <v/>
      </c>
      <c r="B39" s="23">
        <f>Inputs!B14</f>
        <v/>
      </c>
      <c r="C39" s="26">
        <f>IF(COUNTIFS(Costing!$C$6:$C$45,$B39,Costing!$D$6:$D$45,C$36)=0,0,SUMIFS(Costing!$K$6:$K$45,Costing!$C$6:$C$45,$B39,Costing!$D$6:$D$45,C$36)/COUNTIFS(Costing!$C$6:$C$45,$B39,Costing!$D$6:$D$45,C$36))</f>
        <v/>
      </c>
      <c r="D39" s="26">
        <f>IF(COUNTIFS(Costing!$C$6:$C$45,$B39,Costing!$D$6:$D$45,D$36)=0,0,SUMIFS(Costing!$K$6:$K$45,Costing!$C$6:$C$45,$B39,Costing!$D$6:$D$45,D$36)/COUNTIFS(Costing!$C$6:$C$45,$B39,Costing!$D$6:$D$45,D$36))</f>
        <v/>
      </c>
      <c r="E39" s="26">
        <f>IF(COUNTIFS(Costing!$C$6:$C$45,$B39,Costing!$D$6:$D$45,E$36)=0,0,SUMIFS(Costing!$K$6:$K$45,Costing!$C$6:$C$45,$B39,Costing!$D$6:$D$45,E$36)/COUNTIFS(Costing!$C$6:$C$45,$B39,Costing!$D$6:$D$45,E$36))</f>
        <v/>
      </c>
      <c r="F39" s="26">
        <f>IF(COUNTIFS(Costing!$C$6:$C$45,$B39,Costing!$D$6:$D$45,F$36)=0,0,SUMIFS(Costing!$K$6:$K$45,Costing!$C$6:$C$45,$B39,Costing!$D$6:$D$45,F$36)/COUNTIFS(Costing!$C$6:$C$45,$B39,Costing!$D$6:$D$45,F$36))</f>
        <v/>
      </c>
      <c r="G39" s="28">
        <f>IF(COUNTIF(Costing!$C$6:$C$45,$B39)=0,0,SUMIF(Costing!$C$6:$C$45,$B39,Costing!$K$6:$K$45)/COUNTIF(Costing!$C$6:$C$45,$B39))</f>
        <v/>
      </c>
    </row>
    <row r="40">
      <c r="A40" s="25">
        <f>Inputs!A15</f>
        <v/>
      </c>
      <c r="B40" s="23">
        <f>Inputs!B15</f>
        <v/>
      </c>
      <c r="C40" s="26">
        <f>IF(COUNTIFS(Costing!$C$6:$C$45,$B40,Costing!$D$6:$D$45,C$36)=0,0,SUMIFS(Costing!$K$6:$K$45,Costing!$C$6:$C$45,$B40,Costing!$D$6:$D$45,C$36)/COUNTIFS(Costing!$C$6:$C$45,$B40,Costing!$D$6:$D$45,C$36))</f>
        <v/>
      </c>
      <c r="D40" s="26">
        <f>IF(COUNTIFS(Costing!$C$6:$C$45,$B40,Costing!$D$6:$D$45,D$36)=0,0,SUMIFS(Costing!$K$6:$K$45,Costing!$C$6:$C$45,$B40,Costing!$D$6:$D$45,D$36)/COUNTIFS(Costing!$C$6:$C$45,$B40,Costing!$D$6:$D$45,D$36))</f>
        <v/>
      </c>
      <c r="E40" s="26">
        <f>IF(COUNTIFS(Costing!$C$6:$C$45,$B40,Costing!$D$6:$D$45,E$36)=0,0,SUMIFS(Costing!$K$6:$K$45,Costing!$C$6:$C$45,$B40,Costing!$D$6:$D$45,E$36)/COUNTIFS(Costing!$C$6:$C$45,$B40,Costing!$D$6:$D$45,E$36))</f>
        <v/>
      </c>
      <c r="F40" s="26">
        <f>IF(COUNTIFS(Costing!$C$6:$C$45,$B40,Costing!$D$6:$D$45,F$36)=0,0,SUMIFS(Costing!$K$6:$K$45,Costing!$C$6:$C$45,$B40,Costing!$D$6:$D$45,F$36)/COUNTIFS(Costing!$C$6:$C$45,$B40,Costing!$D$6:$D$45,F$36))</f>
        <v/>
      </c>
      <c r="G40" s="28">
        <f>IF(COUNTIF(Costing!$C$6:$C$45,$B40)=0,0,SUMIF(Costing!$C$6:$C$45,$B40,Costing!$K$6:$K$45)/COUNTIF(Costing!$C$6:$C$45,$B40))</f>
        <v/>
      </c>
    </row>
    <row r="41">
      <c r="A41" s="25">
        <f>Inputs!A16</f>
        <v/>
      </c>
      <c r="B41" s="23">
        <f>Inputs!B16</f>
        <v/>
      </c>
      <c r="C41" s="26">
        <f>IF(COUNTIFS(Costing!$C$6:$C$45,$B41,Costing!$D$6:$D$45,C$36)=0,0,SUMIFS(Costing!$K$6:$K$45,Costing!$C$6:$C$45,$B41,Costing!$D$6:$D$45,C$36)/COUNTIFS(Costing!$C$6:$C$45,$B41,Costing!$D$6:$D$45,C$36))</f>
        <v/>
      </c>
      <c r="D41" s="26">
        <f>IF(COUNTIFS(Costing!$C$6:$C$45,$B41,Costing!$D$6:$D$45,D$36)=0,0,SUMIFS(Costing!$K$6:$K$45,Costing!$C$6:$C$45,$B41,Costing!$D$6:$D$45,D$36)/COUNTIFS(Costing!$C$6:$C$45,$B41,Costing!$D$6:$D$45,D$36))</f>
        <v/>
      </c>
      <c r="E41" s="26">
        <f>IF(COUNTIFS(Costing!$C$6:$C$45,$B41,Costing!$D$6:$D$45,E$36)=0,0,SUMIFS(Costing!$K$6:$K$45,Costing!$C$6:$C$45,$B41,Costing!$D$6:$D$45,E$36)/COUNTIFS(Costing!$C$6:$C$45,$B41,Costing!$D$6:$D$45,E$36))</f>
        <v/>
      </c>
      <c r="F41" s="26">
        <f>IF(COUNTIFS(Costing!$C$6:$C$45,$B41,Costing!$D$6:$D$45,F$36)=0,0,SUMIFS(Costing!$K$6:$K$45,Costing!$C$6:$C$45,$B41,Costing!$D$6:$D$45,F$36)/COUNTIFS(Costing!$C$6:$C$45,$B41,Costing!$D$6:$D$45,F$36))</f>
        <v/>
      </c>
      <c r="G41" s="28">
        <f>IF(COUNTIF(Costing!$C$6:$C$45,$B41)=0,0,SUMIF(Costing!$C$6:$C$45,$B41,Costing!$K$6:$K$45)/COUNTIF(Costing!$C$6:$C$45,$B41))</f>
        <v/>
      </c>
    </row>
    <row r="42">
      <c r="A42" s="25">
        <f>Inputs!A17</f>
        <v/>
      </c>
      <c r="B42" s="23">
        <f>Inputs!B17</f>
        <v/>
      </c>
      <c r="C42" s="26">
        <f>IF(COUNTIFS(Costing!$C$6:$C$45,$B42,Costing!$D$6:$D$45,C$36)=0,0,SUMIFS(Costing!$K$6:$K$45,Costing!$C$6:$C$45,$B42,Costing!$D$6:$D$45,C$36)/COUNTIFS(Costing!$C$6:$C$45,$B42,Costing!$D$6:$D$45,C$36))</f>
        <v/>
      </c>
      <c r="D42" s="26">
        <f>IF(COUNTIFS(Costing!$C$6:$C$45,$B42,Costing!$D$6:$D$45,D$36)=0,0,SUMIFS(Costing!$K$6:$K$45,Costing!$C$6:$C$45,$B42,Costing!$D$6:$D$45,D$36)/COUNTIFS(Costing!$C$6:$C$45,$B42,Costing!$D$6:$D$45,D$36))</f>
        <v/>
      </c>
      <c r="E42" s="26">
        <f>IF(COUNTIFS(Costing!$C$6:$C$45,$B42,Costing!$D$6:$D$45,E$36)=0,0,SUMIFS(Costing!$K$6:$K$45,Costing!$C$6:$C$45,$B42,Costing!$D$6:$D$45,E$36)/COUNTIFS(Costing!$C$6:$C$45,$B42,Costing!$D$6:$D$45,E$36))</f>
        <v/>
      </c>
      <c r="F42" s="26">
        <f>IF(COUNTIFS(Costing!$C$6:$C$45,$B42,Costing!$D$6:$D$45,F$36)=0,0,SUMIFS(Costing!$K$6:$K$45,Costing!$C$6:$C$45,$B42,Costing!$D$6:$D$45,F$36)/COUNTIFS(Costing!$C$6:$C$45,$B42,Costing!$D$6:$D$45,F$36))</f>
        <v/>
      </c>
      <c r="G42" s="28">
        <f>IF(COUNTIF(Costing!$C$6:$C$45,$B42)=0,0,SUMIF(Costing!$C$6:$C$45,$B42,Costing!$K$6:$K$45)/COUNTIF(Costing!$C$6:$C$45,$B42))</f>
        <v/>
      </c>
    </row>
    <row r="44">
      <c r="A44" s="7" t="inlineStr">
        <is>
          <t>CONTRACTED FACILITY FEE — WHAT EACH CELL PAYS PER CASE</t>
        </is>
      </c>
      <c r="B44" s="8" t="n"/>
      <c r="C44" s="8" t="n"/>
      <c r="D44" s="8" t="n"/>
      <c r="E44" s="8" t="n"/>
      <c r="F44" s="8" t="n"/>
      <c r="G44" s="8" t="n"/>
    </row>
    <row r="45">
      <c r="A45" s="32" t="inlineStr">
        <is>
          <t>Procedure</t>
        </is>
      </c>
      <c r="B45" s="14" t="inlineStr">
        <is>
          <t>CPT</t>
        </is>
      </c>
      <c r="C45" s="14" t="inlineStr">
        <is>
          <t>Medicare</t>
        </is>
      </c>
      <c r="D45" s="14" t="inlineStr">
        <is>
          <t>Blue Cross PPO</t>
        </is>
      </c>
      <c r="E45" s="14" t="inlineStr">
        <is>
          <t>UnitedHealthcare</t>
        </is>
      </c>
      <c r="F45" s="14" t="inlineStr">
        <is>
          <t>Workers' Comp</t>
        </is>
      </c>
      <c r="G45" s="14" t="inlineStr">
        <is>
          <t>All payers</t>
        </is>
      </c>
    </row>
    <row r="46">
      <c r="A46" s="25">
        <f>Inputs!A12</f>
        <v/>
      </c>
      <c r="B46" s="23">
        <f>Inputs!B12</f>
        <v/>
      </c>
      <c r="C46" s="26">
        <f>IFERROR(INDEX(Rate_Fee,MATCH($B46&amp;"|"&amp;C$45,Rate_Key,0)),0)</f>
        <v/>
      </c>
      <c r="D46" s="26">
        <f>IFERROR(INDEX(Rate_Fee,MATCH($B46&amp;"|"&amp;D$45,Rate_Key,0)),0)</f>
        <v/>
      </c>
      <c r="E46" s="26">
        <f>IFERROR(INDEX(Rate_Fee,MATCH($B46&amp;"|"&amp;E$45,Rate_Key,0)),0)</f>
        <v/>
      </c>
      <c r="F46" s="26">
        <f>IFERROR(INDEX(Rate_Fee,MATCH($B46&amp;"|"&amp;F$45,Rate_Key,0)),0)</f>
        <v/>
      </c>
    </row>
    <row r="47">
      <c r="A47" s="25">
        <f>Inputs!A13</f>
        <v/>
      </c>
      <c r="B47" s="23">
        <f>Inputs!B13</f>
        <v/>
      </c>
      <c r="C47" s="26">
        <f>IFERROR(INDEX(Rate_Fee,MATCH($B47&amp;"|"&amp;C$45,Rate_Key,0)),0)</f>
        <v/>
      </c>
      <c r="D47" s="26">
        <f>IFERROR(INDEX(Rate_Fee,MATCH($B47&amp;"|"&amp;D$45,Rate_Key,0)),0)</f>
        <v/>
      </c>
      <c r="E47" s="26">
        <f>IFERROR(INDEX(Rate_Fee,MATCH($B47&amp;"|"&amp;E$45,Rate_Key,0)),0)</f>
        <v/>
      </c>
      <c r="F47" s="26">
        <f>IFERROR(INDEX(Rate_Fee,MATCH($B47&amp;"|"&amp;F$45,Rate_Key,0)),0)</f>
        <v/>
      </c>
    </row>
    <row r="48">
      <c r="A48" s="25">
        <f>Inputs!A14</f>
        <v/>
      </c>
      <c r="B48" s="23">
        <f>Inputs!B14</f>
        <v/>
      </c>
      <c r="C48" s="26">
        <f>IFERROR(INDEX(Rate_Fee,MATCH($B48&amp;"|"&amp;C$45,Rate_Key,0)),0)</f>
        <v/>
      </c>
      <c r="D48" s="26">
        <f>IFERROR(INDEX(Rate_Fee,MATCH($B48&amp;"|"&amp;D$45,Rate_Key,0)),0)</f>
        <v/>
      </c>
      <c r="E48" s="26">
        <f>IFERROR(INDEX(Rate_Fee,MATCH($B48&amp;"|"&amp;E$45,Rate_Key,0)),0)</f>
        <v/>
      </c>
      <c r="F48" s="26">
        <f>IFERROR(INDEX(Rate_Fee,MATCH($B48&amp;"|"&amp;F$45,Rate_Key,0)),0)</f>
        <v/>
      </c>
    </row>
    <row r="49">
      <c r="A49" s="25">
        <f>Inputs!A15</f>
        <v/>
      </c>
      <c r="B49" s="23">
        <f>Inputs!B15</f>
        <v/>
      </c>
      <c r="C49" s="26">
        <f>IFERROR(INDEX(Rate_Fee,MATCH($B49&amp;"|"&amp;C$45,Rate_Key,0)),0)</f>
        <v/>
      </c>
      <c r="D49" s="26">
        <f>IFERROR(INDEX(Rate_Fee,MATCH($B49&amp;"|"&amp;D$45,Rate_Key,0)),0)</f>
        <v/>
      </c>
      <c r="E49" s="26">
        <f>IFERROR(INDEX(Rate_Fee,MATCH($B49&amp;"|"&amp;E$45,Rate_Key,0)),0)</f>
        <v/>
      </c>
      <c r="F49" s="26">
        <f>IFERROR(INDEX(Rate_Fee,MATCH($B49&amp;"|"&amp;F$45,Rate_Key,0)),0)</f>
        <v/>
      </c>
    </row>
    <row r="50">
      <c r="A50" s="25">
        <f>Inputs!A16</f>
        <v/>
      </c>
      <c r="B50" s="23">
        <f>Inputs!B16</f>
        <v/>
      </c>
      <c r="C50" s="26">
        <f>IFERROR(INDEX(Rate_Fee,MATCH($B50&amp;"|"&amp;C$45,Rate_Key,0)),0)</f>
        <v/>
      </c>
      <c r="D50" s="26">
        <f>IFERROR(INDEX(Rate_Fee,MATCH($B50&amp;"|"&amp;D$45,Rate_Key,0)),0)</f>
        <v/>
      </c>
      <c r="E50" s="26">
        <f>IFERROR(INDEX(Rate_Fee,MATCH($B50&amp;"|"&amp;E$45,Rate_Key,0)),0)</f>
        <v/>
      </c>
      <c r="F50" s="26">
        <f>IFERROR(INDEX(Rate_Fee,MATCH($B50&amp;"|"&amp;F$45,Rate_Key,0)),0)</f>
        <v/>
      </c>
    </row>
    <row r="51">
      <c r="A51" s="25">
        <f>Inputs!A17</f>
        <v/>
      </c>
      <c r="B51" s="23">
        <f>Inputs!B17</f>
        <v/>
      </c>
      <c r="C51" s="26">
        <f>IFERROR(INDEX(Rate_Fee,MATCH($B51&amp;"|"&amp;C$45,Rate_Key,0)),0)</f>
        <v/>
      </c>
      <c r="D51" s="26">
        <f>IFERROR(INDEX(Rate_Fee,MATCH($B51&amp;"|"&amp;D$45,Rate_Key,0)),0)</f>
        <v/>
      </c>
      <c r="E51" s="26">
        <f>IFERROR(INDEX(Rate_Fee,MATCH($B51&amp;"|"&amp;E$45,Rate_Key,0)),0)</f>
        <v/>
      </c>
      <c r="F51" s="26">
        <f>IFERROR(INDEX(Rate_Fee,MATCH($B51&amp;"|"&amp;F$45,Rate_Key,0)),0)</f>
        <v/>
      </c>
    </row>
    <row r="53">
      <c r="A53" s="7" t="inlineStr">
        <is>
          <t>THE HEADLINES</t>
        </is>
      </c>
      <c r="B53" s="8" t="n"/>
      <c r="C53" s="8" t="n"/>
      <c r="D53" s="8" t="n"/>
      <c r="E53" s="8" t="n"/>
      <c r="F53" s="8" t="n"/>
      <c r="G53" s="8" t="n"/>
    </row>
    <row r="54">
      <c r="A54" s="36" t="inlineStr">
        <is>
          <t>CASES THAT LOSE MONEY</t>
        </is>
      </c>
      <c r="C54" s="36" t="inlineStr">
        <is>
          <t>LOST ON THOSE CASES</t>
        </is>
      </c>
      <c r="E54" s="36" t="inlineStr">
        <is>
          <t>WORST SINGLE CASE</t>
        </is>
      </c>
    </row>
    <row r="55">
      <c r="A55" s="37">
        <f>COUNTIF(Costing!$M$6:$M$45,"LOSS")&amp;" of 40"</f>
        <v/>
      </c>
      <c r="C55" s="38">
        <f>SUMIF(Costing!$K$6:$K$45,"&lt;0")</f>
        <v/>
      </c>
      <c r="E55" s="37">
        <f>INDEX(Costing!$A$6:$A$45,MATCH(MIN(Costing!$K$6:$K$45),Costing!$K$6:$K$45,0))&amp;"  "&amp;TEXT(MIN(Costing!$K$6:$K$45),"$#,##0;($#,##0)")</f>
        <v/>
      </c>
    </row>
    <row r="57">
      <c r="A57" s="11" t="inlineStr">
        <is>
          <t>The red cells are the answer to "which cases should we renegotiate or stop taking". An average per service line cannot produce this table.</t>
        </is>
      </c>
    </row>
    <row r="59">
      <c r="A59" s="5" t="n"/>
      <c r="B59" s="5" t="n"/>
      <c r="C59" s="5" t="n"/>
      <c r="D59" s="5" t="n"/>
      <c r="E59" s="5" t="n"/>
      <c r="F59" s="5" t="n"/>
      <c r="G59" s="5" t="n"/>
    </row>
    <row r="60">
      <c r="A60" s="6" t="inlineStr">
        <is>
          <t>Spreadsheet Studio template v1.0  ·  built for this client, formulas live</t>
        </is>
      </c>
    </row>
  </sheetData>
  <conditionalFormatting sqref="C27:G32">
    <cfRule type="expression" priority="1" dxfId="0">
      <formula>C27&lt;0</formula>
    </cfRule>
  </conditionalFormatting>
  <conditionalFormatting sqref="C37:G42">
    <cfRule type="expression" priority="2" dxfId="0">
      <formula>C37&lt;0</formula>
    </cfRule>
  </conditionalFormatting>
  <pageMargins left="0.75" right="0.75" top="1" bottom="1" header="0.5" footer="0.5"/>
  <pageSetup orientation="landscape" fitToWidth="1"/>
</worksheet>
</file>

<file path=xl/worksheets/sheet6.xml><?xml version="1.0" encoding="utf-8"?>
<worksheet xmlns="http://schemas.openxmlformats.org/spreadsheetml/2006/main">
  <sheetPr>
    <tabColor rgb="001F6F4A"/>
    <outlinePr summaryBelow="1" summaryRight="1"/>
    <pageSetUpPr fitToPage="1"/>
  </sheetPr>
  <dimension ref="A2:I36"/>
  <sheetViews>
    <sheetView showGridLines="0" zoomScale="115" workbookViewId="0">
      <selection activeCell="A1" sqref="A1"/>
    </sheetView>
  </sheetViews>
  <sheetFormatPr baseColWidth="8" defaultRowHeight="15"/>
  <cols>
    <col width="34" customWidth="1" min="1" max="1"/>
    <col width="8" customWidth="1" min="2" max="2"/>
    <col width="12" customWidth="1" min="3" max="3"/>
    <col width="14" customWidth="1" min="4" max="4"/>
    <col width="14" customWidth="1" min="5" max="5"/>
    <col width="15" customWidth="1" min="6" max="6"/>
    <col width="15" customWidth="1" min="7" max="7"/>
    <col width="15" customWidth="1" min="8" max="8"/>
    <col width="16" customWidth="1" min="9" max="9"/>
  </cols>
  <sheetData>
    <row r="2">
      <c r="A2" s="1">
        <f>Client_Name&amp;" — the same cases, the way most centers model them"</f>
        <v/>
      </c>
    </row>
    <row r="3">
      <c r="A3" s="2" t="inlineStr">
        <is>
          <t>Two shortcuts, run honestly on the same data. Both total to the same money. Both hide the cases that lose it.</t>
        </is>
      </c>
    </row>
    <row r="5">
      <c r="A5" s="7" t="inlineStr">
        <is>
          <t>SHORTCUT 1 — ONE AVERAGE FEE PER PROCEDURE</t>
        </is>
      </c>
      <c r="B5" s="8" t="n"/>
      <c r="C5" s="8" t="n"/>
      <c r="D5" s="8" t="n"/>
      <c r="E5" s="8" t="n"/>
      <c r="F5" s="8" t="n"/>
      <c r="G5" s="8" t="n"/>
      <c r="H5" s="8" t="n"/>
      <c r="I5" s="8" t="n"/>
    </row>
    <row r="6">
      <c r="A6" s="14" t="inlineStr">
        <is>
          <t>Procedure</t>
        </is>
      </c>
      <c r="B6" s="14" t="inlineStr">
        <is>
          <t>CPT</t>
        </is>
      </c>
      <c r="C6" s="14" t="inlineStr">
        <is>
          <t>Cases</t>
        </is>
      </c>
      <c r="D6" s="14" t="inlineStr">
        <is>
          <t>Revenue</t>
        </is>
      </c>
      <c r="E6" s="14" t="inlineStr">
        <is>
          <t>Average fee</t>
        </is>
      </c>
      <c r="F6" s="14" t="inlineStr">
        <is>
          <t>Medicare fee</t>
        </is>
      </c>
      <c r="G6" s="14" t="inlineStr">
        <is>
          <t>Average minus Medicare</t>
        </is>
      </c>
      <c r="H6" s="14" t="inlineStr">
        <is>
          <t>Medicare cases</t>
        </is>
      </c>
      <c r="I6" s="14" t="inlineStr">
        <is>
          <t>Revenue the average invents for Medicare</t>
        </is>
      </c>
    </row>
    <row r="7">
      <c r="A7" s="25">
        <f>Inputs!A12</f>
        <v/>
      </c>
      <c r="B7" s="23">
        <f>Inputs!B12</f>
        <v/>
      </c>
      <c r="C7" s="27">
        <f>COUNTIF(Costing!$C$6:$C$45,B7)</f>
        <v/>
      </c>
      <c r="D7" s="26">
        <f>SUMIF(Costing!$C$6:$C$45,B7,Costing!$F$6:$F$45)</f>
        <v/>
      </c>
      <c r="E7" s="26">
        <f>IF(C7=0,0,D7/C7)</f>
        <v/>
      </c>
      <c r="F7" s="26">
        <f>IFERROR(INDEX(Rate_Fee,MATCH(B7&amp;"|"&amp;"Medicare",Rate_Key,0)),0)</f>
        <v/>
      </c>
      <c r="G7" s="26">
        <f>E7-F7</f>
        <v/>
      </c>
      <c r="H7" s="27">
        <f>COUNTIFS(Costing!$C$6:$C$45,B7,Costing!$D$6:$D$45,"Medicare")</f>
        <v/>
      </c>
      <c r="I7" s="28">
        <f>G7*H7</f>
        <v/>
      </c>
    </row>
    <row r="8">
      <c r="A8" s="25">
        <f>Inputs!A13</f>
        <v/>
      </c>
      <c r="B8" s="23">
        <f>Inputs!B13</f>
        <v/>
      </c>
      <c r="C8" s="27">
        <f>COUNTIF(Costing!$C$6:$C$45,B8)</f>
        <v/>
      </c>
      <c r="D8" s="26">
        <f>SUMIF(Costing!$C$6:$C$45,B8,Costing!$F$6:$F$45)</f>
        <v/>
      </c>
      <c r="E8" s="26">
        <f>IF(C8=0,0,D8/C8)</f>
        <v/>
      </c>
      <c r="F8" s="26">
        <f>IFERROR(INDEX(Rate_Fee,MATCH(B8&amp;"|"&amp;"Medicare",Rate_Key,0)),0)</f>
        <v/>
      </c>
      <c r="G8" s="26">
        <f>E8-F8</f>
        <v/>
      </c>
      <c r="H8" s="27">
        <f>COUNTIFS(Costing!$C$6:$C$45,B8,Costing!$D$6:$D$45,"Medicare")</f>
        <v/>
      </c>
      <c r="I8" s="28">
        <f>G8*H8</f>
        <v/>
      </c>
    </row>
    <row r="9">
      <c r="A9" s="25">
        <f>Inputs!A14</f>
        <v/>
      </c>
      <c r="B9" s="23">
        <f>Inputs!B14</f>
        <v/>
      </c>
      <c r="C9" s="27">
        <f>COUNTIF(Costing!$C$6:$C$45,B9)</f>
        <v/>
      </c>
      <c r="D9" s="26">
        <f>SUMIF(Costing!$C$6:$C$45,B9,Costing!$F$6:$F$45)</f>
        <v/>
      </c>
      <c r="E9" s="26">
        <f>IF(C9=0,0,D9/C9)</f>
        <v/>
      </c>
      <c r="F9" s="26">
        <f>IFERROR(INDEX(Rate_Fee,MATCH(B9&amp;"|"&amp;"Medicare",Rate_Key,0)),0)</f>
        <v/>
      </c>
      <c r="G9" s="26">
        <f>E9-F9</f>
        <v/>
      </c>
      <c r="H9" s="27">
        <f>COUNTIFS(Costing!$C$6:$C$45,B9,Costing!$D$6:$D$45,"Medicare")</f>
        <v/>
      </c>
      <c r="I9" s="28">
        <f>G9*H9</f>
        <v/>
      </c>
    </row>
    <row r="10">
      <c r="A10" s="25">
        <f>Inputs!A15</f>
        <v/>
      </c>
      <c r="B10" s="23">
        <f>Inputs!B15</f>
        <v/>
      </c>
      <c r="C10" s="27">
        <f>COUNTIF(Costing!$C$6:$C$45,B10)</f>
        <v/>
      </c>
      <c r="D10" s="26">
        <f>SUMIF(Costing!$C$6:$C$45,B10,Costing!$F$6:$F$45)</f>
        <v/>
      </c>
      <c r="E10" s="26">
        <f>IF(C10=0,0,D10/C10)</f>
        <v/>
      </c>
      <c r="F10" s="26">
        <f>IFERROR(INDEX(Rate_Fee,MATCH(B10&amp;"|"&amp;"Medicare",Rate_Key,0)),0)</f>
        <v/>
      </c>
      <c r="G10" s="26">
        <f>E10-F10</f>
        <v/>
      </c>
      <c r="H10" s="27">
        <f>COUNTIFS(Costing!$C$6:$C$45,B10,Costing!$D$6:$D$45,"Medicare")</f>
        <v/>
      </c>
      <c r="I10" s="28">
        <f>G10*H10</f>
        <v/>
      </c>
    </row>
    <row r="11">
      <c r="A11" s="25">
        <f>Inputs!A16</f>
        <v/>
      </c>
      <c r="B11" s="23">
        <f>Inputs!B16</f>
        <v/>
      </c>
      <c r="C11" s="27">
        <f>COUNTIF(Costing!$C$6:$C$45,B11)</f>
        <v/>
      </c>
      <c r="D11" s="26">
        <f>SUMIF(Costing!$C$6:$C$45,B11,Costing!$F$6:$F$45)</f>
        <v/>
      </c>
      <c r="E11" s="26">
        <f>IF(C11=0,0,D11/C11)</f>
        <v/>
      </c>
      <c r="F11" s="26">
        <f>IFERROR(INDEX(Rate_Fee,MATCH(B11&amp;"|"&amp;"Medicare",Rate_Key,0)),0)</f>
        <v/>
      </c>
      <c r="G11" s="26">
        <f>E11-F11</f>
        <v/>
      </c>
      <c r="H11" s="27">
        <f>COUNTIFS(Costing!$C$6:$C$45,B11,Costing!$D$6:$D$45,"Medicare")</f>
        <v/>
      </c>
      <c r="I11" s="28">
        <f>G11*H11</f>
        <v/>
      </c>
    </row>
    <row r="12">
      <c r="A12" s="25">
        <f>Inputs!A17</f>
        <v/>
      </c>
      <c r="B12" s="23">
        <f>Inputs!B17</f>
        <v/>
      </c>
      <c r="C12" s="27">
        <f>COUNTIF(Costing!$C$6:$C$45,B12)</f>
        <v/>
      </c>
      <c r="D12" s="26">
        <f>SUMIF(Costing!$C$6:$C$45,B12,Costing!$F$6:$F$45)</f>
        <v/>
      </c>
      <c r="E12" s="26">
        <f>IF(C12=0,0,D12/C12)</f>
        <v/>
      </c>
      <c r="F12" s="26">
        <f>IFERROR(INDEX(Rate_Fee,MATCH(B12&amp;"|"&amp;"Medicare",Rate_Key,0)),0)</f>
        <v/>
      </c>
      <c r="G12" s="26">
        <f>E12-F12</f>
        <v/>
      </c>
      <c r="H12" s="27">
        <f>COUNTIFS(Costing!$C$6:$C$45,B12,Costing!$D$6:$D$45,"Medicare")</f>
        <v/>
      </c>
      <c r="I12" s="28">
        <f>G12*H12</f>
        <v/>
      </c>
    </row>
    <row r="13">
      <c r="A13" s="34" t="inlineStr">
        <is>
          <t>All procedures</t>
        </is>
      </c>
      <c r="B13" s="35" t="n"/>
      <c r="C13" s="21">
        <f>SUM(C7:C12)</f>
        <v/>
      </c>
      <c r="D13" s="22">
        <f>SUM(D7:D12)</f>
        <v/>
      </c>
      <c r="H13" s="21">
        <f>SUM(H7:H12)</f>
        <v/>
      </c>
      <c r="I13" s="22">
        <f>SUM(I7:I12)</f>
        <v/>
      </c>
    </row>
    <row r="14">
      <c r="A14" s="11" t="inlineStr">
        <is>
          <t>Cases times the average fee gives the right total and the wrong answer for every payer. Column I is the revenue the average books against Medicare cases that Medicare will not pay.</t>
        </is>
      </c>
    </row>
    <row r="16">
      <c r="A16" s="7" t="inlineStr">
        <is>
          <t>SHORTCUT 2 — IMPLANTS AVERAGED INTO SUPPLY COST</t>
        </is>
      </c>
      <c r="B16" s="8" t="n"/>
      <c r="C16" s="8" t="n"/>
      <c r="D16" s="8" t="n"/>
      <c r="E16" s="8" t="n"/>
      <c r="F16" s="8" t="n"/>
      <c r="G16" s="8" t="n"/>
      <c r="H16" s="8" t="n"/>
      <c r="I16" s="8" t="n"/>
    </row>
    <row r="17">
      <c r="A17" s="14" t="inlineStr">
        <is>
          <t>Procedure</t>
        </is>
      </c>
      <c r="B17" s="14" t="inlineStr">
        <is>
          <t>CPT</t>
        </is>
      </c>
      <c r="C17" s="14" t="inlineStr">
        <is>
          <t>Implant cases</t>
        </is>
      </c>
      <c r="D17" s="14" t="inlineStr">
        <is>
          <t>Implant spend</t>
        </is>
      </c>
      <c r="E17" s="14" t="inlineStr">
        <is>
          <t>Average implant per case</t>
        </is>
      </c>
      <c r="F17" s="14" t="inlineStr">
        <is>
          <t>Cases costed properly: LOSS</t>
        </is>
      </c>
      <c r="G17" s="14" t="inlineStr">
        <is>
          <t>Cases with implant averaged: LOSS</t>
        </is>
      </c>
      <c r="H17" s="14" t="inlineStr"/>
      <c r="I17" s="14" t="inlineStr"/>
    </row>
    <row r="18">
      <c r="A18" s="25">
        <f>Inputs!A12</f>
        <v/>
      </c>
      <c r="B18" s="23">
        <f>Inputs!B12</f>
        <v/>
      </c>
      <c r="C18" s="27">
        <f>COUNTIFS(Costing!$C$6:$C$45,B18,Costing!$H$6:$H$45,"&gt;0")</f>
        <v/>
      </c>
      <c r="D18" s="26">
        <f>SUMIF(Costing!$C$6:$C$45,B18,Costing!$H$6:$H$45)</f>
        <v/>
      </c>
      <c r="E18" s="26">
        <f>IF(COUNTIF(Costing!$C$6:$C$45,B18)=0,0,D18/COUNTIF(Costing!$C$6:$C$45,B18))</f>
        <v/>
      </c>
      <c r="F18" s="27">
        <f>COUNTIFS(Costing!$C$6:$C$45,B18,Costing!$M$6:$M$45,"LOSS")</f>
        <v/>
      </c>
      <c r="G18" s="27">
        <f>COUNTIFS(Costing!$C$6:$C$45,B18,Costing!$R$6:$R$45,"LOSS")</f>
        <v/>
      </c>
    </row>
    <row r="19">
      <c r="A19" s="25">
        <f>Inputs!A13</f>
        <v/>
      </c>
      <c r="B19" s="23">
        <f>Inputs!B13</f>
        <v/>
      </c>
      <c r="C19" s="27">
        <f>COUNTIFS(Costing!$C$6:$C$45,B19,Costing!$H$6:$H$45,"&gt;0")</f>
        <v/>
      </c>
      <c r="D19" s="26">
        <f>SUMIF(Costing!$C$6:$C$45,B19,Costing!$H$6:$H$45)</f>
        <v/>
      </c>
      <c r="E19" s="26">
        <f>IF(COUNTIF(Costing!$C$6:$C$45,B19)=0,0,D19/COUNTIF(Costing!$C$6:$C$45,B19))</f>
        <v/>
      </c>
      <c r="F19" s="27">
        <f>COUNTIFS(Costing!$C$6:$C$45,B19,Costing!$M$6:$M$45,"LOSS")</f>
        <v/>
      </c>
      <c r="G19" s="27">
        <f>COUNTIFS(Costing!$C$6:$C$45,B19,Costing!$R$6:$R$45,"LOSS")</f>
        <v/>
      </c>
    </row>
    <row r="20">
      <c r="A20" s="25">
        <f>Inputs!A14</f>
        <v/>
      </c>
      <c r="B20" s="23">
        <f>Inputs!B14</f>
        <v/>
      </c>
      <c r="C20" s="27">
        <f>COUNTIFS(Costing!$C$6:$C$45,B20,Costing!$H$6:$H$45,"&gt;0")</f>
        <v/>
      </c>
      <c r="D20" s="26">
        <f>SUMIF(Costing!$C$6:$C$45,B20,Costing!$H$6:$H$45)</f>
        <v/>
      </c>
      <c r="E20" s="26">
        <f>IF(COUNTIF(Costing!$C$6:$C$45,B20)=0,0,D20/COUNTIF(Costing!$C$6:$C$45,B20))</f>
        <v/>
      </c>
      <c r="F20" s="27">
        <f>COUNTIFS(Costing!$C$6:$C$45,B20,Costing!$M$6:$M$45,"LOSS")</f>
        <v/>
      </c>
      <c r="G20" s="27">
        <f>COUNTIFS(Costing!$C$6:$C$45,B20,Costing!$R$6:$R$45,"LOSS")</f>
        <v/>
      </c>
    </row>
    <row r="21">
      <c r="A21" s="25">
        <f>Inputs!A15</f>
        <v/>
      </c>
      <c r="B21" s="23">
        <f>Inputs!B15</f>
        <v/>
      </c>
      <c r="C21" s="27">
        <f>COUNTIFS(Costing!$C$6:$C$45,B21,Costing!$H$6:$H$45,"&gt;0")</f>
        <v/>
      </c>
      <c r="D21" s="26">
        <f>SUMIF(Costing!$C$6:$C$45,B21,Costing!$H$6:$H$45)</f>
        <v/>
      </c>
      <c r="E21" s="26">
        <f>IF(COUNTIF(Costing!$C$6:$C$45,B21)=0,0,D21/COUNTIF(Costing!$C$6:$C$45,B21))</f>
        <v/>
      </c>
      <c r="F21" s="27">
        <f>COUNTIFS(Costing!$C$6:$C$45,B21,Costing!$M$6:$M$45,"LOSS")</f>
        <v/>
      </c>
      <c r="G21" s="27">
        <f>COUNTIFS(Costing!$C$6:$C$45,B21,Costing!$R$6:$R$45,"LOSS")</f>
        <v/>
      </c>
    </row>
    <row r="22">
      <c r="A22" s="25">
        <f>Inputs!A16</f>
        <v/>
      </c>
      <c r="B22" s="23">
        <f>Inputs!B16</f>
        <v/>
      </c>
      <c r="C22" s="27">
        <f>COUNTIFS(Costing!$C$6:$C$45,B22,Costing!$H$6:$H$45,"&gt;0")</f>
        <v/>
      </c>
      <c r="D22" s="26">
        <f>SUMIF(Costing!$C$6:$C$45,B22,Costing!$H$6:$H$45)</f>
        <v/>
      </c>
      <c r="E22" s="26">
        <f>IF(COUNTIF(Costing!$C$6:$C$45,B22)=0,0,D22/COUNTIF(Costing!$C$6:$C$45,B22))</f>
        <v/>
      </c>
      <c r="F22" s="27">
        <f>COUNTIFS(Costing!$C$6:$C$45,B22,Costing!$M$6:$M$45,"LOSS")</f>
        <v/>
      </c>
      <c r="G22" s="27">
        <f>COUNTIFS(Costing!$C$6:$C$45,B22,Costing!$R$6:$R$45,"LOSS")</f>
        <v/>
      </c>
    </row>
    <row r="23">
      <c r="A23" s="25">
        <f>Inputs!A17</f>
        <v/>
      </c>
      <c r="B23" s="23">
        <f>Inputs!B17</f>
        <v/>
      </c>
      <c r="C23" s="27">
        <f>COUNTIFS(Costing!$C$6:$C$45,B23,Costing!$H$6:$H$45,"&gt;0")</f>
        <v/>
      </c>
      <c r="D23" s="26">
        <f>SUMIF(Costing!$C$6:$C$45,B23,Costing!$H$6:$H$45)</f>
        <v/>
      </c>
      <c r="E23" s="26">
        <f>IF(COUNTIF(Costing!$C$6:$C$45,B23)=0,0,D23/COUNTIF(Costing!$C$6:$C$45,B23))</f>
        <v/>
      </c>
      <c r="F23" s="27">
        <f>COUNTIFS(Costing!$C$6:$C$45,B23,Costing!$M$6:$M$45,"LOSS")</f>
        <v/>
      </c>
      <c r="G23" s="27">
        <f>COUNTIFS(Costing!$C$6:$C$45,B23,Costing!$R$6:$R$45,"LOSS")</f>
        <v/>
      </c>
    </row>
    <row r="24">
      <c r="A24" s="34" t="inlineStr">
        <is>
          <t>All procedures</t>
        </is>
      </c>
      <c r="B24" s="35" t="n"/>
      <c r="C24" s="21">
        <f>SUM(C18:C23)</f>
        <v/>
      </c>
      <c r="D24" s="22">
        <f>SUM(D18:D23)</f>
        <v/>
      </c>
      <c r="F24" s="21">
        <f>SUM(F18:F23)</f>
        <v/>
      </c>
      <c r="G24" s="21">
        <f>SUM(G18:G23)</f>
        <v/>
      </c>
    </row>
    <row r="26">
      <c r="A26" s="7" t="inlineStr">
        <is>
          <t>THE HEADLINES</t>
        </is>
      </c>
      <c r="B26" s="8" t="n"/>
      <c r="C26" s="8" t="n"/>
      <c r="D26" s="8" t="n"/>
      <c r="E26" s="8" t="n"/>
      <c r="F26" s="8" t="n"/>
      <c r="G26" s="8" t="n"/>
      <c r="H26" s="8" t="n"/>
      <c r="I26" s="8" t="n"/>
    </row>
    <row r="27">
      <c r="A27" s="36" t="inlineStr">
        <is>
          <t>COSTED PROPERLY — CASES THAT LOSE MONEY</t>
        </is>
      </c>
      <c r="D27" s="36" t="inlineStr">
        <is>
          <t>WITH IMPLANTS AVERAGED — CASES THAT LOSE MONEY</t>
        </is>
      </c>
      <c r="G27" s="36" t="inlineStr">
        <is>
          <t>REVENUE THE AVERAGE FEE INVENTS FOR MEDICARE</t>
        </is>
      </c>
    </row>
    <row r="28">
      <c r="A28" s="39">
        <f>F24</f>
        <v/>
      </c>
      <c r="D28" s="40">
        <f>G24</f>
        <v/>
      </c>
      <c r="G28" s="38">
        <f>I13</f>
        <v/>
      </c>
    </row>
    <row r="30">
      <c r="A30" s="36" t="inlineStr">
        <is>
          <t>LOSS-MAKING CASES THE AVERAGE HIDES</t>
        </is>
      </c>
      <c r="D30" s="36" t="inlineStr">
        <is>
          <t>PROFITABLE CASES THE AVERAGE WRONGLY FLAGS</t>
        </is>
      </c>
    </row>
    <row r="31">
      <c r="A31" s="39">
        <f>COUNTIFS(Costing!$M$6:$M$45,"LOSS",Costing!$R$6:$R$45,"ok")</f>
        <v/>
      </c>
      <c r="D31" s="40">
        <f>COUNTIFS(Costing!$M$6:$M$45,"ok",Costing!$R$6:$R$45,"LOSS")</f>
        <v/>
      </c>
    </row>
    <row r="33">
      <c r="A33" s="11" t="inlineStr">
        <is>
          <t>Same 40 cases, same total contribution to the dollar. The shortcuts do not lose money — they lose the information about which cases do.</t>
        </is>
      </c>
    </row>
    <row r="35">
      <c r="A35" s="5" t="n"/>
      <c r="B35" s="5" t="n"/>
      <c r="C35" s="5" t="n"/>
      <c r="D35" s="5" t="n"/>
      <c r="E35" s="5" t="n"/>
      <c r="F35" s="5" t="n"/>
      <c r="G35" s="5" t="n"/>
      <c r="H35" s="5" t="n"/>
      <c r="I35" s="5" t="n"/>
    </row>
    <row r="36">
      <c r="A36" s="6" t="inlineStr">
        <is>
          <t>Spreadsheet Studio template v1.0  ·  built for this client, formulas live</t>
        </is>
      </c>
    </row>
  </sheetData>
  <pageMargins left="0.75" right="0.75" top="1" bottom="1" header="0.5" footer="0.5"/>
  <pageSetup orientation="landscape" fitToWidth="1"/>
</worksheet>
</file>

<file path=xl/worksheets/sheet7.xml><?xml version="1.0" encoding="utf-8"?>
<worksheet xmlns="http://schemas.openxmlformats.org/spreadsheetml/2006/main">
  <sheetPr>
    <tabColor rgb="00134A31"/>
    <outlinePr summaryBelow="1" summaryRight="1"/>
    <pageSetUpPr fitToPage="1"/>
  </sheetPr>
  <dimension ref="A2:E26"/>
  <sheetViews>
    <sheetView showGridLines="0" zoomScale="115" workbookViewId="0">
      <selection activeCell="A1" sqref="A1"/>
    </sheetView>
  </sheetViews>
  <sheetFormatPr baseColWidth="8" defaultRowHeight="15"/>
  <cols>
    <col width="60" customWidth="1" min="1" max="1"/>
    <col width="2" customWidth="1" min="2" max="2"/>
    <col width="15" customWidth="1" min="3" max="3"/>
    <col width="2" customWidth="1" min="4" max="4"/>
    <col width="86" customWidth="1" min="5" max="5"/>
  </cols>
  <sheetData>
    <row r="2">
      <c r="A2" s="1" t="inlineStr">
        <is>
          <t>Checks</t>
        </is>
      </c>
    </row>
    <row r="3">
      <c r="A3" s="2" t="inlineStr">
        <is>
          <t>14 tie-outs on this model. Break one on purpose before you trust the other 13.</t>
        </is>
      </c>
    </row>
    <row r="5">
      <c r="A5" s="14" t="inlineStr">
        <is>
          <t>Tie-out</t>
        </is>
      </c>
      <c r="B5" s="14" t="inlineStr"/>
      <c r="C5" s="14" t="inlineStr">
        <is>
          <t>Result</t>
        </is>
      </c>
      <c r="D5" s="14" t="inlineStr"/>
      <c r="E5" s="14" t="inlineStr">
        <is>
          <t>What it proves</t>
        </is>
      </c>
    </row>
    <row r="6">
      <c r="A6" s="9" t="inlineStr">
        <is>
          <t>Every case lands in the grid exactly once</t>
        </is>
      </c>
      <c r="C6" s="41">
        <f>IF(ABS((SUM('By CPT and payer'!C7:F12))-(COUNTA(Cases!$A$6:$A$45)))&lt;=0,"OK","** CHECK **")</f>
        <v/>
      </c>
      <c r="E6" s="11" t="inlineStr">
        <is>
          <t>The six-by-four count grid totals the case list. A CPT or payer typed differently from the Inputs tables would fall out of every cell, and this would say so.</t>
        </is>
      </c>
    </row>
    <row r="7">
      <c r="A7" s="9" t="inlineStr">
        <is>
          <t>Contribution in the grid equals contribution on the case list</t>
        </is>
      </c>
      <c r="C7" s="41">
        <f>IF(ABS((SUM('By CPT and payer'!C27:F32))-(SUM(Costing!$K$6:$K$45)))&lt;=0.01,"OK","** CHECK **")</f>
        <v/>
      </c>
      <c r="E7" s="11" t="inlineStr">
        <is>
          <t>The bucketing did not drop or double-count a case.</t>
        </is>
      </c>
    </row>
    <row r="8">
      <c r="A8" s="9" t="inlineStr">
        <is>
          <t>Revenue in the grid equals the facility fees on the case list</t>
        </is>
      </c>
      <c r="C8" s="41">
        <f>IF(ABS((SUM('By CPT and payer'!C17:F22))-(SUM(Costing!$F$6:$F$45)))&lt;=0.01,"OK","** CHECK **")</f>
        <v/>
      </c>
      <c r="E8" s="11" t="inlineStr">
        <is>
          <t>Same test on the revenue grid.</t>
        </is>
      </c>
    </row>
    <row r="9">
      <c r="A9" s="9" t="inlineStr">
        <is>
          <t>Facility fees re-derived from the case counts and the contract table</t>
        </is>
      </c>
      <c r="C9" s="41">
        <f>IF(ABS((SUMPRODUCT('By CPT and payer'!C7:F12,'By CPT and payer'!C46:F51))-(SUM(Costing!$F$6:$F$45)))&lt;=0.01,"OK","** CHECK **")</f>
        <v/>
      </c>
      <c r="E9" s="11" t="inlineStr">
        <is>
          <t>How many cases in each cell, times what the contract pays for that cell, equals the fees on the case list. A fee typed over on the Costing sheet is caught.</t>
        </is>
      </c>
    </row>
    <row r="10">
      <c r="A10" s="9" t="inlineStr">
        <is>
          <t>Minutes and implants on the costing sheet equal the case log</t>
        </is>
      </c>
      <c r="C10" s="41">
        <f>IF(ABS((ABS(SUM(Costing!$I$6:$I$45)-SUM(Cases!$F$6:$F$45))+ABS(SUM(Costing!$H$6:$H$45)-SUM(Cases!$G$6:$G$45)))-(0))&lt;=0.01,"OK","** CHECK **")</f>
        <v/>
      </c>
      <c r="E10" s="11" t="inlineStr">
        <is>
          <t>The two columns copied off the paste grid still agree with it. A number typed over either one on Costing shows up here.</t>
        </is>
      </c>
    </row>
    <row r="11">
      <c r="A11" s="9" t="inlineStr">
        <is>
          <t>Standard supplies re-derived from the procedure table</t>
        </is>
      </c>
      <c r="C11" s="41">
        <f>IF(ABS((SUM(Costing!$G$6:$G$45))-(COUNTIF(Costing!$C$6:$C$45,"29881")*Inputs!$C$12+COUNTIF(Costing!$C$6:$C$45,"29827")*Inputs!$C$13+COUNTIF(Costing!$C$6:$C$45,"27447")*Inputs!$C$14+COUNTIF(Costing!$C$6:$C$45,"64483")*Inputs!$C$15+COUNTIF(Costing!$C$6:$C$45,"66984")*Inputs!$C$16+COUNTIF(Costing!$C$6:$C$45,"47562")*Inputs!$C$17))&lt;=0.01,"OK","** CHECK **")</f>
        <v/>
      </c>
      <c r="E11" s="11" t="inlineStr">
        <is>
          <t>Cases per CPT times the standard supply cost on Inputs. A supply figure typed over on the Costing sheet is caught.</t>
        </is>
      </c>
    </row>
    <row r="12">
      <c r="A12" s="9" t="inlineStr">
        <is>
          <t>What the average fee invents is re-multiplied from its two columns</t>
        </is>
      </c>
      <c r="C12" s="41">
        <f>IF(ABS((SUMPRODUCT(Averages!$G$7:$G$12,Averages!$H$7:$H$12))-(SUM(Averages!$I$7:$I$12)))&lt;=0.01,"OK","** CHECK **")</f>
        <v/>
      </c>
      <c r="E12" s="11" t="inlineStr">
        <is>
          <t>The headline on the Averages sheet is rebuilt from overstatement per case times Medicare cases.</t>
        </is>
      </c>
    </row>
    <row r="13">
      <c r="A13" s="9" t="inlineStr">
        <is>
          <t>Contribution re-derived from fee, supplies, implant and OR cost</t>
        </is>
      </c>
      <c r="C13" s="41">
        <f>IF(ABS((SUM(Costing!$F$6:$F$45)-SUM(Costing!$G$6:$G$45)-SUM(Costing!$H$6:$H$45)-SUM(Costing!$J$6:$J$45))-(SUM(Costing!$K$6:$K$45)))&lt;=0.01,"OK","** CHECK **")</f>
        <v/>
      </c>
      <c r="E13" s="11" t="inlineStr">
        <is>
          <t>The contribution column is rebuilt from its four ingredients. A number typed over any case's contribution shows up here.</t>
        </is>
      </c>
    </row>
    <row r="14">
      <c r="A14" s="9" t="inlineStr">
        <is>
          <t>OR cost re-derived from minutes and the rate</t>
        </is>
      </c>
      <c r="C14" s="41">
        <f>IF(ABS((SUM(Costing!$I$6:$I$45)*OR_Rate)-(SUM(Costing!$J$6:$J$45)))&lt;=0.01,"OK","** CHECK **")</f>
        <v/>
      </c>
      <c r="E14" s="11" t="inlineStr">
        <is>
          <t>Every case's room cost is minutes times the one rate on Inputs — a rate typed into a single case is caught.</t>
        </is>
      </c>
    </row>
    <row r="15">
      <c r="A15" s="9" t="inlineStr">
        <is>
          <t>Every case matched a contract fee and a procedure</t>
        </is>
      </c>
      <c r="C15" s="41">
        <f>IF(COUNTIF(Costing!$F$6:$F$45,0)+COUNTIF(Costing!$O$6:$O$45,"MISSING")=0,"OK","** CHECK **")</f>
        <v/>
      </c>
      <c r="E15" s="11" t="inlineStr">
        <is>
          <t>A CPT or payer that does not match the Inputs tables looks up to nothing and would price the case at zero. This counts those.</t>
        </is>
      </c>
    </row>
    <row r="16">
      <c r="A16" s="9" t="inlineStr">
        <is>
          <t>LOSS flags agree with the numbers</t>
        </is>
      </c>
      <c r="C16" s="41">
        <f>IF(ABS((COUNTIF(Costing!$M$6:$M$45,"LOSS"))-(COUNTIF(Costing!$K$6:$K$45,"&lt;0")))&lt;=0,"OK","** CHECK **")</f>
        <v/>
      </c>
      <c r="E16" s="11" t="inlineStr">
        <is>
          <t>The flag column and the contribution column cannot disagree about how many cases lose money.</t>
        </is>
      </c>
    </row>
    <row r="17">
      <c r="A17" s="9" t="inlineStr">
        <is>
          <t>Implants only on procedures that have one</t>
        </is>
      </c>
      <c r="C17" s="41">
        <f>IF(COUNTIFS(Costing!$H$6:$H$45,"&gt;0",Costing!$O$6:$O$45,"N")=0,"OK","** CHECK **")</f>
        <v/>
      </c>
      <c r="E17" s="11" t="inlineStr">
        <is>
          <t>An implant invoice against a knee scope or an injection is a data error on the case log, not a cost. Caught before it is costed.</t>
        </is>
      </c>
    </row>
    <row r="18">
      <c r="A18" s="9" t="inlineStr">
        <is>
          <t>Averaging the implants moves cost between cases without changing the total</t>
        </is>
      </c>
      <c r="C18" s="41">
        <f>IF(ABS((SUM(Costing!$Q$6:$Q$45))-(SUM(Costing!$K$6:$K$45)))&lt;=0.01,"OK","** CHECK **")</f>
        <v/>
      </c>
      <c r="E18" s="11" t="inlineStr">
        <is>
          <t>The averaged re-costing must spend exactly the same implant dollars, just spread out. If it does not, the average was computed wrongly.</t>
        </is>
      </c>
    </row>
    <row r="19">
      <c r="A19" s="9" t="inlineStr">
        <is>
          <t>The average fee reproduces total revenue</t>
        </is>
      </c>
      <c r="C19" s="41">
        <f>IF(ABS((SUMPRODUCT(Averages!$C$7:$C$12,Averages!$E$7:$E$12))-(SUM(Costing!$F$6:$F$45)))&lt;=0.01,"OK","** CHECK **")</f>
        <v/>
      </c>
      <c r="E19" s="11" t="inlineStr">
        <is>
          <t>Cases times the average fee per CPT equals actual revenue in total. That is precisely why the shortcut survives: nothing in the annual number gives it away.</t>
        </is>
      </c>
    </row>
    <row r="21">
      <c r="A21" s="20" t="inlineStr">
        <is>
          <t>Summary</t>
        </is>
      </c>
      <c r="C21" s="42">
        <f>IF(COUNTIF(C6:C19,"OK")=14,"ALL CHECKS PASS","** SOMETHING IS OFF **")</f>
        <v/>
      </c>
    </row>
    <row r="23">
      <c r="A23" s="11" t="inlineStr">
        <is>
          <t>To see this sheet work: type a number over one of the live formula cells on any calculation sheet, then press Ctrl+Z to put it back.</t>
        </is>
      </c>
    </row>
    <row r="25">
      <c r="A25" s="5" t="n"/>
      <c r="B25" s="5" t="n"/>
      <c r="C25" s="5" t="n"/>
      <c r="D25" s="5" t="n"/>
      <c r="E25" s="5" t="n"/>
    </row>
    <row r="26">
      <c r="A26" s="6" t="inlineStr">
        <is>
          <t>Spreadsheet Studio template v1.0  ·  built for this client, formulas live</t>
        </is>
      </c>
    </row>
  </sheetData>
  <conditionalFormatting sqref="C6:C19">
    <cfRule type="expression" priority="1" dxfId="0">
      <formula>$C6="** CHECK **"</formula>
    </cfRule>
  </conditionalFormatting>
  <conditionalFormatting sqref="C21">
    <cfRule type="expression" priority="2" dxfId="2">
      <formula>$C21="** SOMETHING IS OFF **"</formula>
    </cfRule>
  </conditionalFormatting>
  <pageMargins left="0.75" right="0.75" top="1" bottom="1" header="0.5" footer="0.5"/>
  <pageSetup orientation="landscape"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2026-09-03T18:00:56Z</dcterms:created>
  <dcterms:modified xmlns:dcterms="http://purl.org/dc/terms/" xmlns:xsi="http://www.w3.org/2001/XMLSchema-instance" xsi:type="dcterms:W3CDTF">2026-09-03T18:00:56Z</dcterms:modified>
</cp:coreProperties>
</file>